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SSMIC RAIN Pilot Project\Funding\Funding Applications\Next Generation North Project\NGN Presentations\"/>
    </mc:Choice>
  </mc:AlternateContent>
  <bookViews>
    <workbookView xWindow="0" yWindow="0" windowWidth="24000" windowHeight="8910" tabRatio="944" activeTab="2"/>
  </bookViews>
  <sheets>
    <sheet name="Market Potential" sheetId="6" r:id="rId1"/>
    <sheet name="Revenue Projections" sheetId="5" r:id="rId2"/>
    <sheet name="Retailer Questionaire Yogurt" sheetId="2" r:id="rId3"/>
    <sheet name="Retailer Questionaire Milk" sheetId="4" r:id="rId4"/>
    <sheet name="Office Questionaire All Product" sheetId="8" r:id="rId5"/>
    <sheet name="onfarm store assumptions" sheetId="7" r:id="rId6"/>
    <sheet name="Current Sales TBCM 2013" sheetId="9" r:id="rId7"/>
  </sheets>
  <calcPr calcId="171027"/>
</workbook>
</file>

<file path=xl/calcChain.xml><?xml version="1.0" encoding="utf-8"?>
<calcChain xmlns="http://schemas.openxmlformats.org/spreadsheetml/2006/main">
  <c r="D41" i="6" l="1"/>
  <c r="C41" i="6"/>
  <c r="B41" i="6"/>
  <c r="B42" i="6"/>
  <c r="C42" i="6"/>
  <c r="D42" i="6"/>
  <c r="H3" i="6"/>
  <c r="B20" i="7"/>
  <c r="AV15" i="4"/>
  <c r="H11" i="6"/>
  <c r="B3" i="6"/>
  <c r="C22" i="7"/>
  <c r="C24" i="7"/>
  <c r="B4" i="6" s="1"/>
  <c r="B5" i="6"/>
  <c r="B10" i="6"/>
  <c r="C3" i="6"/>
  <c r="D22" i="7"/>
  <c r="AA19" i="4"/>
  <c r="C11" i="6" s="1"/>
  <c r="K23" i="5" s="1"/>
  <c r="K22" i="5" s="1"/>
  <c r="D3" i="6"/>
  <c r="E22" i="7"/>
  <c r="X19" i="4"/>
  <c r="D11" i="6" s="1"/>
  <c r="L25" i="5" s="1"/>
  <c r="L24" i="5" s="1"/>
  <c r="E3" i="6"/>
  <c r="E6" i="6" s="1"/>
  <c r="F22" i="7"/>
  <c r="F24" i="7" s="1"/>
  <c r="E4" i="6" s="1"/>
  <c r="AD19" i="4"/>
  <c r="E11" i="6" s="1"/>
  <c r="M15" i="5" s="1"/>
  <c r="M14" i="5" s="1"/>
  <c r="F3" i="6"/>
  <c r="F6" i="6" s="1"/>
  <c r="G22" i="7"/>
  <c r="G24" i="7" s="1"/>
  <c r="F4" i="6" s="1"/>
  <c r="AG19" i="4"/>
  <c r="F11" i="6" s="1"/>
  <c r="N9" i="5" s="1"/>
  <c r="N8" i="5" s="1"/>
  <c r="G3" i="6"/>
  <c r="G6" i="6" s="1"/>
  <c r="I22" i="7"/>
  <c r="I24" i="7" s="1"/>
  <c r="G4" i="6" s="1"/>
  <c r="AZ19" i="4"/>
  <c r="G11" i="6" s="1"/>
  <c r="O29" i="5" s="1"/>
  <c r="O28" i="5" s="1"/>
  <c r="B199" i="8"/>
  <c r="E199" i="8" s="1"/>
  <c r="B200" i="8"/>
  <c r="E200" i="8" s="1"/>
  <c r="E201" i="8"/>
  <c r="C200" i="8"/>
  <c r="C199" i="8"/>
  <c r="D186" i="8"/>
  <c r="K115" i="8"/>
  <c r="K116" i="8"/>
  <c r="K117" i="8"/>
  <c r="K118" i="8"/>
  <c r="M118" i="8" s="1"/>
  <c r="M117" i="8"/>
  <c r="E102" i="8"/>
  <c r="D41" i="8"/>
  <c r="G7" i="8" s="1"/>
  <c r="E28" i="8"/>
  <c r="E29" i="8"/>
  <c r="E30" i="8"/>
  <c r="E31" i="8"/>
  <c r="E32" i="8"/>
  <c r="O5" i="8"/>
  <c r="B14" i="9"/>
  <c r="I17" i="9" s="1"/>
  <c r="C14" i="9"/>
  <c r="F14" i="9"/>
  <c r="I16" i="9" s="1"/>
  <c r="D3" i="9"/>
  <c r="D4" i="9" s="1"/>
  <c r="D5" i="9" s="1"/>
  <c r="H14" i="9"/>
  <c r="G14" i="9"/>
  <c r="L17" i="5"/>
  <c r="L16" i="5" s="1"/>
  <c r="P17" i="5"/>
  <c r="P16" i="5" s="1"/>
  <c r="L19" i="5"/>
  <c r="L18" i="5" s="1"/>
  <c r="K21" i="5"/>
  <c r="K20" i="5" s="1"/>
  <c r="O21" i="5"/>
  <c r="O20" i="5" s="1"/>
  <c r="O23" i="5"/>
  <c r="O22" i="5" s="1"/>
  <c r="N25" i="5"/>
  <c r="N24" i="5" s="1"/>
  <c r="L27" i="5"/>
  <c r="L26" i="5" s="1"/>
  <c r="N27" i="5"/>
  <c r="N26" i="5" s="1"/>
  <c r="M29" i="5"/>
  <c r="M28" i="5" s="1"/>
  <c r="K31" i="5"/>
  <c r="K30" i="5" s="1"/>
  <c r="K35" i="5" s="1"/>
  <c r="K36" i="5" s="1"/>
  <c r="M31" i="5"/>
  <c r="M30" i="5"/>
  <c r="M35" i="5" s="1"/>
  <c r="C25" i="7"/>
  <c r="B21" i="7"/>
  <c r="B10" i="7"/>
  <c r="B11" i="7"/>
  <c r="B13" i="7" s="1"/>
  <c r="B14" i="7" s="1"/>
  <c r="AZ15" i="4"/>
  <c r="AZ18" i="4" s="1"/>
  <c r="AY15" i="4"/>
  <c r="AY18" i="4" s="1"/>
  <c r="AG15" i="4"/>
  <c r="AG18" i="4" s="1"/>
  <c r="AF15" i="4"/>
  <c r="AF18" i="4" s="1"/>
  <c r="AE15" i="4"/>
  <c r="AE18" i="4" s="1"/>
  <c r="AD15" i="4"/>
  <c r="AD18" i="4" s="1"/>
  <c r="AC15" i="4"/>
  <c r="AC18" i="4" s="1"/>
  <c r="W15" i="4"/>
  <c r="W18" i="4"/>
  <c r="Z15" i="4"/>
  <c r="Z18" i="4" s="1"/>
  <c r="AA15" i="4"/>
  <c r="AA18" i="4" s="1"/>
  <c r="AB15" i="4"/>
  <c r="AB18" i="4" s="1"/>
  <c r="Y15" i="4"/>
  <c r="Y18" i="4" s="1"/>
  <c r="X15" i="4"/>
  <c r="X18" i="4" s="1"/>
  <c r="V15" i="4"/>
  <c r="V18" i="4" s="1"/>
  <c r="I25" i="7"/>
  <c r="F25" i="7"/>
  <c r="G25" i="7"/>
  <c r="B28" i="4"/>
  <c r="BJ21" i="4"/>
  <c r="BI21" i="4"/>
  <c r="BK21" i="4"/>
  <c r="BH21" i="4"/>
  <c r="AS21" i="4"/>
  <c r="AS23" i="4" s="1"/>
  <c r="AP21" i="4"/>
  <c r="AP23" i="4" s="1"/>
  <c r="AM21" i="4"/>
  <c r="AM23" i="4" s="1"/>
  <c r="AJ21" i="4"/>
  <c r="AJ23" i="4"/>
  <c r="AG20" i="4"/>
  <c r="Q19" i="4"/>
  <c r="N19" i="4"/>
  <c r="K19" i="4"/>
  <c r="H19" i="4"/>
  <c r="BR15" i="4"/>
  <c r="BQ15" i="4"/>
  <c r="BP15" i="4"/>
  <c r="BO15" i="4"/>
  <c r="BN15" i="4"/>
  <c r="BM15" i="4"/>
  <c r="BF15" i="4"/>
  <c r="BG15" i="4"/>
  <c r="BL15" i="4"/>
  <c r="BK15" i="4"/>
  <c r="BJ15" i="4"/>
  <c r="BI15" i="4"/>
  <c r="BH15" i="4"/>
  <c r="BE15" i="4"/>
  <c r="BD15" i="4"/>
  <c r="BC15" i="4"/>
  <c r="BA15" i="4"/>
  <c r="BB15" i="4"/>
  <c r="AS15" i="4"/>
  <c r="AR15" i="4"/>
  <c r="AQ15" i="4"/>
  <c r="AP15" i="4"/>
  <c r="AO15" i="4"/>
  <c r="AN15" i="4"/>
  <c r="AL15" i="4"/>
  <c r="AM15" i="4"/>
  <c r="AK15" i="4"/>
  <c r="AJ15" i="4"/>
  <c r="AI15" i="4"/>
  <c r="AH15" i="4"/>
  <c r="L15" i="4"/>
  <c r="M15" i="4"/>
  <c r="N15" i="4"/>
  <c r="O15" i="4"/>
  <c r="P15" i="4"/>
  <c r="Q15" i="4"/>
  <c r="I15" i="4"/>
  <c r="J15" i="4"/>
  <c r="K15" i="4"/>
  <c r="F15" i="4"/>
  <c r="G15" i="4"/>
  <c r="H15" i="4"/>
  <c r="E15" i="4"/>
  <c r="D15" i="4"/>
  <c r="C15" i="4"/>
  <c r="B15" i="4"/>
  <c r="I17" i="2"/>
  <c r="M36" i="5"/>
  <c r="F11" i="5" l="1"/>
  <c r="F10" i="5" s="1"/>
  <c r="F25" i="5"/>
  <c r="F24" i="5" s="1"/>
  <c r="E6" i="9"/>
  <c r="I6" i="9" s="1"/>
  <c r="D6" i="9"/>
  <c r="G29" i="5"/>
  <c r="G28" i="5" s="1"/>
  <c r="G23" i="5"/>
  <c r="G22" i="5" s="1"/>
  <c r="E20" i="4"/>
  <c r="Q20" i="4"/>
  <c r="N21" i="4" s="1"/>
  <c r="N11" i="5"/>
  <c r="N10" i="5" s="1"/>
  <c r="E33" i="8"/>
  <c r="E202" i="8"/>
  <c r="H202" i="8" s="1"/>
  <c r="L7" i="8" s="1"/>
  <c r="L8" i="8" s="1"/>
  <c r="D24" i="7"/>
  <c r="K21" i="4"/>
  <c r="H21" i="4"/>
  <c r="M13" i="5"/>
  <c r="M12" i="5" s="1"/>
  <c r="H24" i="7"/>
  <c r="J13" i="5"/>
  <c r="J12" i="5" s="1"/>
  <c r="J21" i="5"/>
  <c r="J20" i="5" s="1"/>
  <c r="J15" i="5"/>
  <c r="J14" i="5" s="1"/>
  <c r="J23" i="5"/>
  <c r="J22" i="5" s="1"/>
  <c r="J19" i="5"/>
  <c r="J18" i="5" s="1"/>
  <c r="J29" i="5"/>
  <c r="J28" i="5" s="1"/>
  <c r="J17" i="5"/>
  <c r="J16" i="5" s="1"/>
  <c r="J31" i="5"/>
  <c r="J30" i="5" s="1"/>
  <c r="J35" i="5" s="1"/>
  <c r="J36" i="5" s="1"/>
  <c r="J11" i="5"/>
  <c r="J10" i="5" s="1"/>
  <c r="J9" i="5"/>
  <c r="J27" i="5"/>
  <c r="J26" i="5" s="1"/>
  <c r="J25" i="5"/>
  <c r="J24" i="5" s="1"/>
  <c r="D26" i="4"/>
  <c r="D27" i="4"/>
  <c r="H13" i="5"/>
  <c r="H12" i="5" s="1"/>
  <c r="H21" i="5"/>
  <c r="H20" i="5" s="1"/>
  <c r="G15" i="6"/>
  <c r="G16" i="6" s="1"/>
  <c r="H15" i="5"/>
  <c r="H14" i="5" s="1"/>
  <c r="H23" i="5"/>
  <c r="H22" i="5" s="1"/>
  <c r="H11" i="5"/>
  <c r="H10" i="5" s="1"/>
  <c r="H29" i="5"/>
  <c r="H28" i="5" s="1"/>
  <c r="H9" i="5"/>
  <c r="H31" i="5"/>
  <c r="H30" i="5" s="1"/>
  <c r="H35" i="5" s="1"/>
  <c r="H36" i="5" s="1"/>
  <c r="F13" i="5"/>
  <c r="F12" i="5" s="1"/>
  <c r="F21" i="5"/>
  <c r="F20" i="5" s="1"/>
  <c r="E15" i="6"/>
  <c r="E16" i="6" s="1"/>
  <c r="F15" i="5"/>
  <c r="F14" i="5" s="1"/>
  <c r="F23" i="5"/>
  <c r="F22" i="5" s="1"/>
  <c r="F19" i="5"/>
  <c r="F18" i="5" s="1"/>
  <c r="F29" i="5"/>
  <c r="F28" i="5" s="1"/>
  <c r="F17" i="5"/>
  <c r="F16" i="5" s="1"/>
  <c r="F31" i="5"/>
  <c r="F30" i="5" s="1"/>
  <c r="F35" i="5" s="1"/>
  <c r="F36" i="5" s="1"/>
  <c r="F27" i="5"/>
  <c r="F26" i="5" s="1"/>
  <c r="H17" i="5"/>
  <c r="H16" i="5" s="1"/>
  <c r="M116" i="8"/>
  <c r="K119" i="8"/>
  <c r="L116" i="8" s="1"/>
  <c r="N116" i="8" s="1"/>
  <c r="H7" i="8" s="1"/>
  <c r="L115" i="8"/>
  <c r="N115" i="8" s="1"/>
  <c r="I7" i="8" s="1"/>
  <c r="M7" i="8" s="1"/>
  <c r="M115" i="8"/>
  <c r="P13" i="5"/>
  <c r="P12" i="5" s="1"/>
  <c r="P21" i="5"/>
  <c r="P20" i="5" s="1"/>
  <c r="P15" i="5"/>
  <c r="P14" i="5" s="1"/>
  <c r="P23" i="5"/>
  <c r="P22" i="5" s="1"/>
  <c r="P11" i="5"/>
  <c r="P10" i="5" s="1"/>
  <c r="P29" i="5"/>
  <c r="P28" i="5" s="1"/>
  <c r="P9" i="5"/>
  <c r="P31" i="5"/>
  <c r="P30" i="5" s="1"/>
  <c r="P35" i="5" s="1"/>
  <c r="P36" i="5" s="1"/>
  <c r="O31" i="5"/>
  <c r="O30" i="5" s="1"/>
  <c r="O35" i="5" s="1"/>
  <c r="O36" i="5" s="1"/>
  <c r="G31" i="5"/>
  <c r="G30" i="5" s="1"/>
  <c r="G35" i="5" s="1"/>
  <c r="G36" i="5" s="1"/>
  <c r="K29" i="5"/>
  <c r="K28" i="5" s="1"/>
  <c r="P25" i="5"/>
  <c r="P24" i="5" s="1"/>
  <c r="H25" i="5"/>
  <c r="H24" i="5" s="1"/>
  <c r="P19" i="5"/>
  <c r="P18" i="5" s="1"/>
  <c r="H19" i="5"/>
  <c r="H18" i="5" s="1"/>
  <c r="B6" i="6"/>
  <c r="D7" i="9"/>
  <c r="E7" i="9" s="1"/>
  <c r="I7" i="9" s="1"/>
  <c r="G9" i="5"/>
  <c r="G17" i="5"/>
  <c r="G16" i="5" s="1"/>
  <c r="F15" i="6"/>
  <c r="F16" i="6" s="1"/>
  <c r="G11" i="5"/>
  <c r="G10" i="5" s="1"/>
  <c r="G19" i="5"/>
  <c r="G18" i="5" s="1"/>
  <c r="G15" i="5"/>
  <c r="G14" i="5" s="1"/>
  <c r="G25" i="5"/>
  <c r="G24" i="5" s="1"/>
  <c r="G13" i="5"/>
  <c r="G12" i="5" s="1"/>
  <c r="G27" i="5"/>
  <c r="G26" i="5" s="1"/>
  <c r="P27" i="5"/>
  <c r="P26" i="5" s="1"/>
  <c r="H27" i="5"/>
  <c r="H26" i="5" s="1"/>
  <c r="G21" i="5"/>
  <c r="G20" i="5" s="1"/>
  <c r="F9" i="5"/>
  <c r="O9" i="5"/>
  <c r="O17" i="5"/>
  <c r="O16" i="5" s="1"/>
  <c r="O11" i="5"/>
  <c r="O10" i="5" s="1"/>
  <c r="O19" i="5"/>
  <c r="O18" i="5" s="1"/>
  <c r="O15" i="5"/>
  <c r="O14" i="5" s="1"/>
  <c r="O25" i="5"/>
  <c r="O24" i="5" s="1"/>
  <c r="O13" i="5"/>
  <c r="O12" i="5" s="1"/>
  <c r="O27" i="5"/>
  <c r="O26" i="5" s="1"/>
  <c r="N13" i="5"/>
  <c r="N12" i="5" s="1"/>
  <c r="N21" i="5"/>
  <c r="N20" i="5" s="1"/>
  <c r="N15" i="5"/>
  <c r="N14" i="5" s="1"/>
  <c r="N23" i="5"/>
  <c r="N22" i="5" s="1"/>
  <c r="N19" i="5"/>
  <c r="N18" i="5" s="1"/>
  <c r="N29" i="5"/>
  <c r="N28" i="5" s="1"/>
  <c r="N17" i="5"/>
  <c r="N16" i="5" s="1"/>
  <c r="N31" i="5"/>
  <c r="N30" i="5" s="1"/>
  <c r="N35" i="5" s="1"/>
  <c r="N36" i="5" s="1"/>
  <c r="M9" i="5"/>
  <c r="M17" i="5"/>
  <c r="M16" i="5" s="1"/>
  <c r="M11" i="5"/>
  <c r="M10" i="5" s="1"/>
  <c r="M19" i="5"/>
  <c r="M18" i="5" s="1"/>
  <c r="M23" i="5"/>
  <c r="M22" i="5" s="1"/>
  <c r="M25" i="5"/>
  <c r="M24" i="5" s="1"/>
  <c r="M21" i="5"/>
  <c r="M20" i="5" s="1"/>
  <c r="M27" i="5"/>
  <c r="M26" i="5" s="1"/>
  <c r="L13" i="5"/>
  <c r="L12" i="5" s="1"/>
  <c r="L21" i="5"/>
  <c r="L20" i="5" s="1"/>
  <c r="L15" i="5"/>
  <c r="L14" i="5" s="1"/>
  <c r="L23" i="5"/>
  <c r="L22" i="5" s="1"/>
  <c r="L11" i="5"/>
  <c r="L10" i="5" s="1"/>
  <c r="L29" i="5"/>
  <c r="L28" i="5" s="1"/>
  <c r="L9" i="5"/>
  <c r="L31" i="5"/>
  <c r="L30" i="5" s="1"/>
  <c r="L35" i="5" s="1"/>
  <c r="L36" i="5" s="1"/>
  <c r="K9" i="5"/>
  <c r="K17" i="5"/>
  <c r="K16" i="5" s="1"/>
  <c r="K11" i="5"/>
  <c r="K10" i="5" s="1"/>
  <c r="K19" i="5"/>
  <c r="K18" i="5" s="1"/>
  <c r="K15" i="5"/>
  <c r="K14" i="5" s="1"/>
  <c r="K25" i="5"/>
  <c r="K24" i="5" s="1"/>
  <c r="K13" i="5"/>
  <c r="K12" i="5" s="1"/>
  <c r="K27" i="5"/>
  <c r="K26" i="5" s="1"/>
  <c r="E5" i="9"/>
  <c r="E24" i="7"/>
  <c r="H4" i="6" l="1"/>
  <c r="H6" i="6" s="1"/>
  <c r="H27" i="7"/>
  <c r="H25" i="7" s="1"/>
  <c r="C4" i="6"/>
  <c r="C6" i="6" s="1"/>
  <c r="D25" i="7"/>
  <c r="Q21" i="4"/>
  <c r="D4" i="6"/>
  <c r="E25" i="7"/>
  <c r="J25" i="7" s="1"/>
  <c r="J26" i="7" s="1"/>
  <c r="G8" i="5"/>
  <c r="G33" i="5" s="1"/>
  <c r="G32" i="5"/>
  <c r="H8" i="5"/>
  <c r="H33" i="5" s="1"/>
  <c r="H32" i="5"/>
  <c r="K8" i="5"/>
  <c r="K33" i="5" s="1"/>
  <c r="K32" i="5"/>
  <c r="M8" i="5"/>
  <c r="M33" i="5" s="1"/>
  <c r="M32" i="5"/>
  <c r="N33" i="5"/>
  <c r="O8" i="5"/>
  <c r="O33" i="5" s="1"/>
  <c r="O32" i="5"/>
  <c r="C9" i="5"/>
  <c r="C17" i="5"/>
  <c r="C25" i="5"/>
  <c r="B15" i="6"/>
  <c r="C11" i="5"/>
  <c r="C19" i="5"/>
  <c r="C15" i="5"/>
  <c r="C13" i="5"/>
  <c r="C27" i="5"/>
  <c r="C31" i="5"/>
  <c r="C23" i="5"/>
  <c r="C29" i="5"/>
  <c r="C21" i="5"/>
  <c r="P8" i="5"/>
  <c r="P33" i="5" s="1"/>
  <c r="P32" i="5"/>
  <c r="F8" i="5"/>
  <c r="F33" i="5" s="1"/>
  <c r="F32" i="5"/>
  <c r="J8" i="5"/>
  <c r="J33" i="5" s="1"/>
  <c r="J32" i="5"/>
  <c r="I5" i="9"/>
  <c r="L8" i="5"/>
  <c r="L33" i="5" s="1"/>
  <c r="L32" i="5"/>
  <c r="D8" i="9"/>
  <c r="N32" i="5"/>
  <c r="L117" i="8"/>
  <c r="N117" i="8" s="1"/>
  <c r="J7" i="8" s="1"/>
  <c r="L118" i="8"/>
  <c r="N118" i="8" s="1"/>
  <c r="K7" i="8" s="1"/>
  <c r="D28" i="4"/>
  <c r="D19" i="5" l="1"/>
  <c r="D18" i="5" s="1"/>
  <c r="D15" i="5"/>
  <c r="D14" i="5" s="1"/>
  <c r="D9" i="5"/>
  <c r="D13" i="5"/>
  <c r="D12" i="5" s="1"/>
  <c r="D31" i="5"/>
  <c r="D30" i="5" s="1"/>
  <c r="D35" i="5" s="1"/>
  <c r="D36" i="5" s="1"/>
  <c r="D17" i="5"/>
  <c r="D16" i="5" s="1"/>
  <c r="C15" i="6"/>
  <c r="C16" i="6" s="1"/>
  <c r="D29" i="5"/>
  <c r="D28" i="5" s="1"/>
  <c r="D27" i="5"/>
  <c r="D26" i="5" s="1"/>
  <c r="D23" i="5"/>
  <c r="D22" i="5" s="1"/>
  <c r="D21" i="5"/>
  <c r="D20" i="5" s="1"/>
  <c r="D11" i="5"/>
  <c r="D10" i="5" s="1"/>
  <c r="D25" i="5"/>
  <c r="D24" i="5" s="1"/>
  <c r="I31" i="5"/>
  <c r="I30" i="5" s="1"/>
  <c r="I35" i="5" s="1"/>
  <c r="I36" i="5" s="1"/>
  <c r="I15" i="5"/>
  <c r="I14" i="5" s="1"/>
  <c r="I13" i="5"/>
  <c r="I12" i="5" s="1"/>
  <c r="I29" i="5"/>
  <c r="I28" i="5" s="1"/>
  <c r="I17" i="5"/>
  <c r="I16" i="5" s="1"/>
  <c r="I21" i="5"/>
  <c r="I20" i="5" s="1"/>
  <c r="I9" i="5"/>
  <c r="H15" i="6"/>
  <c r="H16" i="6" s="1"/>
  <c r="I27" i="5"/>
  <c r="I26" i="5" s="1"/>
  <c r="I23" i="5"/>
  <c r="I22" i="5" s="1"/>
  <c r="I11" i="5"/>
  <c r="I10" i="5" s="1"/>
  <c r="I25" i="5"/>
  <c r="I24" i="5" s="1"/>
  <c r="I19" i="5"/>
  <c r="I18" i="5" s="1"/>
  <c r="D9" i="9"/>
  <c r="C30" i="5"/>
  <c r="C28" i="5"/>
  <c r="C12" i="5"/>
  <c r="B16" i="6"/>
  <c r="E8" i="9"/>
  <c r="C22" i="5"/>
  <c r="C14" i="5"/>
  <c r="C24" i="5"/>
  <c r="C18" i="5"/>
  <c r="C16" i="5"/>
  <c r="C20" i="5"/>
  <c r="C26" i="5"/>
  <c r="C10" i="5"/>
  <c r="C8" i="5"/>
  <c r="C32" i="5"/>
  <c r="D6" i="6"/>
  <c r="I4" i="6"/>
  <c r="D8" i="5" l="1"/>
  <c r="D33" i="5" s="1"/>
  <c r="D32" i="5"/>
  <c r="I32" i="5"/>
  <c r="I8" i="5"/>
  <c r="I33" i="5" s="1"/>
  <c r="D10" i="9"/>
  <c r="E10" i="9"/>
  <c r="I10" i="9" s="1"/>
  <c r="C33" i="5"/>
  <c r="E9" i="9"/>
  <c r="I9" i="9" s="1"/>
  <c r="E9" i="5"/>
  <c r="E17" i="5"/>
  <c r="D15" i="6"/>
  <c r="E11" i="5"/>
  <c r="E19" i="5"/>
  <c r="E23" i="5"/>
  <c r="E25" i="5"/>
  <c r="E21" i="5"/>
  <c r="E27" i="5"/>
  <c r="E15" i="5"/>
  <c r="E13" i="5"/>
  <c r="E31" i="5"/>
  <c r="E29" i="5"/>
  <c r="I8" i="9"/>
  <c r="C35" i="5"/>
  <c r="C36" i="5" s="1"/>
  <c r="E12" i="5" l="1"/>
  <c r="Q12" i="5" s="1"/>
  <c r="Q13" i="5"/>
  <c r="E20" i="5"/>
  <c r="Q20" i="5" s="1"/>
  <c r="Q21" i="5"/>
  <c r="E10" i="5"/>
  <c r="Q10" i="5" s="1"/>
  <c r="Q11" i="5"/>
  <c r="E14" i="5"/>
  <c r="Q14" i="5" s="1"/>
  <c r="Q15" i="5"/>
  <c r="E24" i="5"/>
  <c r="Q24" i="5" s="1"/>
  <c r="Q25" i="5"/>
  <c r="D16" i="6"/>
  <c r="I16" i="6" s="1"/>
  <c r="I15" i="6"/>
  <c r="E28" i="5"/>
  <c r="Q28" i="5" s="1"/>
  <c r="Q29" i="5"/>
  <c r="E22" i="5"/>
  <c r="Q22" i="5" s="1"/>
  <c r="Q23" i="5"/>
  <c r="E16" i="5"/>
  <c r="Q16" i="5" s="1"/>
  <c r="Q17" i="5"/>
  <c r="D11" i="9"/>
  <c r="E11" i="9" s="1"/>
  <c r="E30" i="5"/>
  <c r="Q31" i="5"/>
  <c r="E26" i="5"/>
  <c r="Q26" i="5" s="1"/>
  <c r="Q27" i="5"/>
  <c r="E18" i="5"/>
  <c r="Q18" i="5" s="1"/>
  <c r="Q19" i="5"/>
  <c r="E8" i="5"/>
  <c r="E32" i="5"/>
  <c r="Q9" i="5"/>
  <c r="Q32" i="5" l="1"/>
  <c r="E35" i="5"/>
  <c r="E36" i="5" s="1"/>
  <c r="Q30" i="5"/>
  <c r="I11" i="9"/>
  <c r="C22" i="6"/>
  <c r="G22" i="6"/>
  <c r="H22" i="6"/>
  <c r="E22" i="6"/>
  <c r="F22" i="6"/>
  <c r="D22" i="6"/>
  <c r="B22" i="6"/>
  <c r="C20" i="6"/>
  <c r="G20" i="6"/>
  <c r="F20" i="6"/>
  <c r="E20" i="6"/>
  <c r="H20" i="6"/>
  <c r="B20" i="6"/>
  <c r="D20" i="6"/>
  <c r="E33" i="5"/>
  <c r="Q8" i="5"/>
  <c r="D12" i="9"/>
  <c r="E12" i="9" s="1"/>
  <c r="I12" i="9" s="1"/>
  <c r="B21" i="5"/>
  <c r="B11" i="5"/>
  <c r="B27" i="5"/>
  <c r="B13" i="5"/>
  <c r="B25" i="5"/>
  <c r="B15" i="5"/>
  <c r="B31" i="5"/>
  <c r="B29" i="5"/>
  <c r="B19" i="5"/>
  <c r="B17" i="5"/>
  <c r="B9" i="5"/>
  <c r="B23" i="5"/>
  <c r="B32" i="5" l="1"/>
  <c r="I20" i="6"/>
  <c r="Q33" i="5"/>
  <c r="Q34" i="5" s="1"/>
  <c r="E14" i="9"/>
  <c r="I22" i="6"/>
  <c r="I14" i="9"/>
  <c r="I15" i="9" s="1"/>
  <c r="I23" i="6" l="1"/>
  <c r="G7" i="5"/>
  <c r="K7" i="5"/>
  <c r="H7" i="5"/>
  <c r="N7" i="5"/>
  <c r="M7" i="5"/>
  <c r="F7" i="5"/>
  <c r="O7" i="5"/>
  <c r="L7" i="5"/>
  <c r="D7" i="5"/>
  <c r="I7" i="5"/>
  <c r="P7" i="5"/>
  <c r="J7" i="5"/>
  <c r="C7" i="5"/>
  <c r="E7" i="5"/>
  <c r="Q7" i="5" l="1"/>
</calcChain>
</file>

<file path=xl/sharedStrings.xml><?xml version="1.0" encoding="utf-8"?>
<sst xmlns="http://schemas.openxmlformats.org/spreadsheetml/2006/main" count="646" uniqueCount="327">
  <si>
    <t>Butter</t>
  </si>
  <si>
    <t>Additional Comments</t>
  </si>
  <si>
    <t>No</t>
  </si>
  <si>
    <t>Yes</t>
  </si>
  <si>
    <t>Store</t>
  </si>
  <si>
    <t>Bay Meats Butcher Shop</t>
  </si>
  <si>
    <t>True North Community Co-Op</t>
  </si>
  <si>
    <t>Kakabeka Depot</t>
  </si>
  <si>
    <t>Maltese</t>
  </si>
  <si>
    <t>Georges Market</t>
  </si>
  <si>
    <t>Quality Market 2 Locations</t>
  </si>
  <si>
    <t>Renco Foods</t>
  </si>
  <si>
    <t>Bonobo</t>
  </si>
  <si>
    <t>Kelly's Nutrition Centre</t>
  </si>
  <si>
    <t>Westfort Foods</t>
  </si>
  <si>
    <t>Odena Foods</t>
  </si>
  <si>
    <t>Total</t>
  </si>
  <si>
    <t>Skim</t>
  </si>
  <si>
    <t>500 ml</t>
  </si>
  <si>
    <t>1 Litre</t>
  </si>
  <si>
    <t>2 Litre</t>
  </si>
  <si>
    <t xml:space="preserve">Yes </t>
  </si>
  <si>
    <t>500 ml Cream</t>
  </si>
  <si>
    <t>1 Litre Cream</t>
  </si>
  <si>
    <t>226 g Butter</t>
  </si>
  <si>
    <t>500 ml of Milk</t>
  </si>
  <si>
    <t>1 Litre of Milk</t>
  </si>
  <si>
    <t>1.89 Litre of Milk</t>
  </si>
  <si>
    <t>Cream</t>
  </si>
  <si>
    <t>226 g</t>
  </si>
  <si>
    <t>3. How Many Litres Per Week Would You Order and In What Size?</t>
  </si>
  <si>
    <t>1. Current Average Milk Sales per Week In Litres</t>
  </si>
  <si>
    <t>1.B. What Are The Ratio of Unit Sizes Which Are Sold?</t>
  </si>
  <si>
    <t>2. Would You Carry Locally Produced Cream Lined Milk In A Glass Bottle</t>
  </si>
  <si>
    <t>2.B. If Yes Would You Be Willing To Take A Bottle Deposit?</t>
  </si>
  <si>
    <t xml:space="preserve">4. What Would You Set As The Final Price For Each </t>
  </si>
  <si>
    <t>yes</t>
  </si>
  <si>
    <t>`</t>
  </si>
  <si>
    <t>9. What Would You Set As The Final Price of Cream and Butter</t>
  </si>
  <si>
    <t>8. If Yes How Many Liters of Cream In Each Size Would You Purchase?</t>
  </si>
  <si>
    <t>7. Would You Purchase A Locally Produced All Natural 35% Cream?</t>
  </si>
  <si>
    <t>6. If Yes How Many lbs Would You Order Each Week(lbs)?</t>
  </si>
  <si>
    <t>5. Would You Carry All Natural Butter In A Re-Usable 226 g Glass Container?</t>
  </si>
  <si>
    <t>10. What Would The Average Price Mark-Up Be For The Following Products</t>
  </si>
  <si>
    <t>11 Yes</t>
  </si>
  <si>
    <t>1 No</t>
  </si>
  <si>
    <t>in Litres</t>
  </si>
  <si>
    <t>total in Litres</t>
  </si>
  <si>
    <t>95L cream</t>
  </si>
  <si>
    <t>prices above in $ per litre of cream</t>
  </si>
  <si>
    <t>butter 1000/226= 4.40*5.1= $22.55 per Kg butter</t>
  </si>
  <si>
    <t>every 3.63 L cream makes 1kg of butter 22.55/3.63</t>
  </si>
  <si>
    <t>average in litres</t>
  </si>
  <si>
    <t>min average mark up</t>
  </si>
  <si>
    <t>our average selling price to retail</t>
  </si>
  <si>
    <t>%</t>
  </si>
  <si>
    <t>yogurt sales in litre</t>
  </si>
  <si>
    <t>milk sales in Litres</t>
  </si>
  <si>
    <t>total</t>
  </si>
  <si>
    <t>ratio butter to cream36% cream and 64% butter</t>
  </si>
  <si>
    <t>Market Potential</t>
  </si>
  <si>
    <t xml:space="preserve">Revenue per litre </t>
  </si>
  <si>
    <t>Direct</t>
  </si>
  <si>
    <t>Retail</t>
  </si>
  <si>
    <t xml:space="preserve">226 g. Butter </t>
  </si>
  <si>
    <t>Cream in 500ML</t>
  </si>
  <si>
    <t>Total Revenue</t>
  </si>
  <si>
    <t>(litres)</t>
  </si>
  <si>
    <t>Jan</t>
  </si>
  <si>
    <t>unit sales in Litres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</si>
  <si>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</si>
  <si>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</si>
  <si>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</si>
  <si>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</si>
  <si>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</si>
  <si>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</si>
  <si>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</si>
  <si>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</si>
  <si>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</si>
  <si>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</si>
  <si>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</si>
  <si>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 Litres</t>
  </si>
  <si>
    <t>Office Survey</t>
  </si>
  <si>
    <t>Farm</t>
  </si>
  <si>
    <t>Farmers Market</t>
  </si>
  <si>
    <t>Yogurt</t>
  </si>
  <si>
    <t>2% Milk</t>
  </si>
  <si>
    <t>1% Milk</t>
  </si>
  <si>
    <t>Skim Milk</t>
  </si>
  <si>
    <t>Whole</t>
  </si>
  <si>
    <t>Assuming Avg Building</t>
  </si>
  <si>
    <t>Estimated Wkly Purchase (ml)</t>
  </si>
  <si>
    <t>Assumption # of Offices</t>
  </si>
  <si>
    <t>Butter(g)</t>
  </si>
  <si>
    <t>Farm Sales Assumptions</t>
  </si>
  <si>
    <t># of Tours/Month</t>
  </si>
  <si>
    <t># of Days/Month Open</t>
  </si>
  <si>
    <t># of People per tour</t>
  </si>
  <si>
    <t>Avg people per day(walk ins)</t>
  </si>
  <si>
    <t># of People Per Mth</t>
  </si>
  <si>
    <t>Sale Per Person ml</t>
  </si>
  <si>
    <t>Quantity of Milk per Person</t>
  </si>
  <si>
    <t>Farm Sales Per Month</t>
  </si>
  <si>
    <t>Whole Milk</t>
  </si>
  <si>
    <t>Yogurt Questionaire</t>
  </si>
  <si>
    <t>Milk Questionaire</t>
  </si>
  <si>
    <t>Assumptions</t>
  </si>
  <si>
    <t>Direct (mthly)</t>
  </si>
  <si>
    <t>Wholesale (mthly)</t>
  </si>
  <si>
    <t>Average Sales Per Week (ml)</t>
  </si>
  <si>
    <t>Farmers Market Assumption</t>
  </si>
  <si>
    <t>22 lbs</t>
  </si>
  <si>
    <t>Yogurt (ml)</t>
  </si>
  <si>
    <t>in ml</t>
  </si>
  <si>
    <t>Total Litres per product</t>
  </si>
  <si>
    <t>2% Milk (ml)</t>
  </si>
  <si>
    <t>Whole Milk (ml)</t>
  </si>
  <si>
    <t>1% Milk (ml)</t>
  </si>
  <si>
    <t>ml</t>
  </si>
  <si>
    <t>Litres</t>
  </si>
  <si>
    <t>Totals</t>
  </si>
  <si>
    <t>226 g. Butter</t>
  </si>
  <si>
    <t>Precentages</t>
  </si>
  <si>
    <t>Indirect</t>
  </si>
  <si>
    <t>Total Direct ml</t>
  </si>
  <si>
    <t>Thunder Oak Cheese Farm Stats</t>
  </si>
  <si>
    <t># of Customers/Day</t>
  </si>
  <si>
    <t>Avg Volume/Customer</t>
  </si>
  <si>
    <t>2 kg</t>
  </si>
  <si>
    <t>Avg Amt Spent/Customer</t>
  </si>
  <si>
    <t>Days Open Per Month</t>
  </si>
  <si>
    <t>Monthly Revenue</t>
  </si>
  <si>
    <t>Yearly Revenue</t>
  </si>
  <si>
    <t>Riverbend Farms</t>
  </si>
  <si>
    <t># of Customers/Mth</t>
  </si>
  <si>
    <t>2KG =2000 ml</t>
  </si>
  <si>
    <t>Total Volume per Mth</t>
  </si>
  <si>
    <t>NOTES:</t>
  </si>
  <si>
    <t>Assuming 2 offices of 75 employees each in 1st year with consumption estimates based on survey results</t>
  </si>
  <si>
    <t>See Assumptions sheet - based on conservative estimates from Thunder Oak data</t>
  </si>
  <si>
    <t>Based on retailer interviews</t>
  </si>
  <si>
    <t>Monthly</t>
  </si>
  <si>
    <t>sales 2013</t>
  </si>
  <si>
    <t>bottles sold</t>
  </si>
  <si>
    <t>bottle return</t>
  </si>
  <si>
    <t>bottle inv.</t>
  </si>
  <si>
    <t>$ for bottle</t>
  </si>
  <si>
    <t>Total yogurt $</t>
  </si>
  <si>
    <t>Total Granola $</t>
  </si>
  <si>
    <t>Cat Grass $</t>
  </si>
  <si>
    <t>total $ made</t>
  </si>
  <si>
    <t>give away</t>
  </si>
  <si>
    <t>displays</t>
  </si>
  <si>
    <t>sales were down due to weather for this Saturday</t>
  </si>
  <si>
    <t>totals</t>
  </si>
  <si>
    <t>Averge sales per week</t>
  </si>
  <si>
    <t>Averge yogurt sales per week</t>
  </si>
  <si>
    <t>Bottles in circulation</t>
  </si>
  <si>
    <t>Dairy Survey</t>
  </si>
  <si>
    <t>Q1. Please indicate the number of people working in your office building?</t>
  </si>
  <si>
    <t>Answer Options</t>
  </si>
  <si>
    <t>Response Percent</t>
  </si>
  <si>
    <t>Response Count</t>
  </si>
  <si>
    <t>&lt; 20</t>
  </si>
  <si>
    <t>21.5%</t>
  </si>
  <si>
    <t>20 to 50</t>
  </si>
  <si>
    <t>19.0%</t>
  </si>
  <si>
    <t>50 to 100</t>
  </si>
  <si>
    <t>29.1%</t>
  </si>
  <si>
    <t>&gt;100</t>
  </si>
  <si>
    <t>30.4%</t>
  </si>
  <si>
    <t>answered question</t>
  </si>
  <si>
    <t>skipped question</t>
  </si>
  <si>
    <t>Q2. Does your household consume yogurt?</t>
  </si>
  <si>
    <t>94.9%</t>
  </si>
  <si>
    <t>5.1%</t>
  </si>
  <si>
    <t>Q3. How much yogurt does your household purchase per week?</t>
  </si>
  <si>
    <t>&lt; 500 ml</t>
  </si>
  <si>
    <t>33.3%</t>
  </si>
  <si>
    <t>1 litre</t>
  </si>
  <si>
    <t>36.2%</t>
  </si>
  <si>
    <t>1.5 litres</t>
  </si>
  <si>
    <t>13.0%</t>
  </si>
  <si>
    <t>2 litres</t>
  </si>
  <si>
    <t>&gt; 2 litres</t>
  </si>
  <si>
    <t>4.3%</t>
  </si>
  <si>
    <t>Avg Consumption/Wk</t>
  </si>
  <si>
    <t>Q4. At a cost of $4 for a 500 ml bottle (with a $2.50 refunndable bottle deposit), how likely would you be to order all natural, fresh locally produced yogurt to be delivered to your office?</t>
  </si>
  <si>
    <t>Extremely likely</t>
  </si>
  <si>
    <t>21.7%</t>
  </si>
  <si>
    <t>Very likely</t>
  </si>
  <si>
    <t>31.9%</t>
  </si>
  <si>
    <t>Moderately likely</t>
  </si>
  <si>
    <t>24.6%</t>
  </si>
  <si>
    <t>Slightly likely</t>
  </si>
  <si>
    <t>20.3%</t>
  </si>
  <si>
    <t>Not at all likely</t>
  </si>
  <si>
    <t>1.4%</t>
  </si>
  <si>
    <t>Q5. Approximately what quantity of yogurt would you order per week?</t>
  </si>
  <si>
    <t>36.8%</t>
  </si>
  <si>
    <t>10.5%</t>
  </si>
  <si>
    <t>15.8%</t>
  </si>
  <si>
    <t>0.0%</t>
  </si>
  <si>
    <t>Q6. What would make you more likely to order this butter?</t>
  </si>
  <si>
    <t>lower the cost</t>
  </si>
  <si>
    <t>71.4%</t>
  </si>
  <si>
    <t>do not use reusable container</t>
  </si>
  <si>
    <t>change the container size</t>
  </si>
  <si>
    <t>not sure</t>
  </si>
  <si>
    <t>28.6%</t>
  </si>
  <si>
    <t>Comments</t>
  </si>
  <si>
    <t>Q7. Does your household purchase cow's milk?</t>
  </si>
  <si>
    <t>88.9%</t>
  </si>
  <si>
    <t>11.1%</t>
  </si>
  <si>
    <t>Q8. How much milk does your household purchase per week?</t>
  </si>
  <si>
    <t>None</t>
  </si>
  <si>
    <t>3 litres</t>
  </si>
  <si>
    <t>4 litres</t>
  </si>
  <si>
    <t>5 litres</t>
  </si>
  <si>
    <t>6-8 litres</t>
  </si>
  <si>
    <t>&gt; 8 litres</t>
  </si>
  <si>
    <t>Whole or 3.25% Milk</t>
  </si>
  <si>
    <t>2 % Milk</t>
  </si>
  <si>
    <t>1 % Milk</t>
  </si>
  <si>
    <t>Q9. At a cost of $2.00/litre (with $2.50 refundable bottle deposit), how likely would you be to order non-homgenized milk to be delivered to your office?</t>
  </si>
  <si>
    <t>23.8%</t>
  </si>
  <si>
    <t>14.3%</t>
  </si>
  <si>
    <t>Q10. Approximately what quantity of non-homgenized milk would you order on a weekly basis?</t>
  </si>
  <si>
    <t>% Ordering By Type</t>
  </si>
  <si>
    <t>Whole Milk ($2.40/L)</t>
  </si>
  <si>
    <t>2% Milk ($2.00/L)</t>
  </si>
  <si>
    <t>1% Milk ($2.00/L)</t>
  </si>
  <si>
    <t>Skim Milk ($2.00/L)</t>
  </si>
  <si>
    <t>Q11. What size of bottle would you prefer?</t>
  </si>
  <si>
    <t>1 litre bottle</t>
  </si>
  <si>
    <t>46.5%</t>
  </si>
  <si>
    <t>1.89 litre bottle</t>
  </si>
  <si>
    <t>53.5%</t>
  </si>
  <si>
    <t>Q12. What would make you more likely to order non homgenized milk this way?</t>
  </si>
  <si>
    <t>25.0%</t>
  </si>
  <si>
    <t>do not use a reusable container that I must return</t>
  </si>
  <si>
    <t>make it homgenized</t>
  </si>
  <si>
    <t>50.0%</t>
  </si>
  <si>
    <t>Q13. What would make you more likely to order this yogurt?</t>
  </si>
  <si>
    <t>make it flavoured yogurt</t>
  </si>
  <si>
    <t>20.8%</t>
  </si>
  <si>
    <t>do not use reusable bottles</t>
  </si>
  <si>
    <t>change the bottle size</t>
  </si>
  <si>
    <t>29.2%</t>
  </si>
  <si>
    <t>Q14. Does your household consume butter?</t>
  </si>
  <si>
    <t>86.1%</t>
  </si>
  <si>
    <t>13.9%</t>
  </si>
  <si>
    <t>Q15. How much butter does your household purchase per week?</t>
  </si>
  <si>
    <t>&lt; 226 grams (1/2 lb)</t>
  </si>
  <si>
    <t>51.7%</t>
  </si>
  <si>
    <t>226 grams (1/2 lb)</t>
  </si>
  <si>
    <t>30.0%</t>
  </si>
  <si>
    <t>452 grams (1 lb)</t>
  </si>
  <si>
    <t>15.0%</t>
  </si>
  <si>
    <t>&gt; 452 grams (1 lb)</t>
  </si>
  <si>
    <t>3.3%</t>
  </si>
  <si>
    <t>Q16. At a cost of $3.50 for a 226 gram (1/2 lb) container, how likely would you be to order fresh butter to be delivered to your office?</t>
  </si>
  <si>
    <t>19.7%</t>
  </si>
  <si>
    <t>32.8%</t>
  </si>
  <si>
    <t>31.1%</t>
  </si>
  <si>
    <t>6.6%</t>
  </si>
  <si>
    <t>9.8%</t>
  </si>
  <si>
    <t>Q17. Approximately what quantity of butter would you order?</t>
  </si>
  <si>
    <t>&gt; 452 grams (1 lb) per week</t>
  </si>
  <si>
    <t>3.9%</t>
  </si>
  <si>
    <t>226 grams (1/2 lb) per month</t>
  </si>
  <si>
    <t>5.9%</t>
  </si>
  <si>
    <t>Avg Consumption/wk</t>
  </si>
  <si>
    <t>452 grams (1 lb) per month</t>
  </si>
  <si>
    <t>Q18. If this weekly dairy delivery program were introduced in your workplace what issues would need to be addressed?</t>
  </si>
  <si>
    <t>Q19. How difficult would it be to identify someone in your office who would be willing to take the orders each week and receive the money?</t>
  </si>
  <si>
    <t>Very Easy</t>
  </si>
  <si>
    <t>7.8%</t>
  </si>
  <si>
    <t>Somewhat Easy</t>
  </si>
  <si>
    <t>51.6%</t>
  </si>
  <si>
    <t>Somewhat Difficult</t>
  </si>
  <si>
    <t>29.7%</t>
  </si>
  <si>
    <t>Very Difficult</t>
  </si>
  <si>
    <t>10.9%</t>
  </si>
  <si>
    <t>Q20. Please provide the address or name of the office building you work in.</t>
  </si>
  <si>
    <t>Q21. Please provide your email address if you are interested in being contacted if and when these products are available.</t>
  </si>
  <si>
    <t>Currently selling 240,000 ml per month with no marketing and only yogurt</t>
  </si>
  <si>
    <t>sales in Litres</t>
  </si>
  <si>
    <t>average</t>
  </si>
  <si>
    <t>year 1</t>
  </si>
  <si>
    <t>year 2</t>
  </si>
  <si>
    <t>year 3</t>
  </si>
  <si>
    <t xml:space="preserve">litres to process </t>
  </si>
  <si>
    <t>What is The Expected Price Markup (%)</t>
  </si>
  <si>
    <t>If Yes How Much Volume Would Initially Carry Per Week(Litres/lbs)</t>
  </si>
  <si>
    <t>Would You Be Interested In Carrying ____________ Brand Y/N</t>
  </si>
  <si>
    <t>What Are Your Top 3 Selling _______ Brands</t>
  </si>
  <si>
    <t>Avg Retail Price Per Litre/Lbs of ___________</t>
  </si>
  <si>
    <t>Do you Carry ____________ Y/N</t>
  </si>
  <si>
    <t>Current Average _______ Volume per Week</t>
  </si>
  <si>
    <t>City Meat Market</t>
  </si>
  <si>
    <t>Metro</t>
  </si>
  <si>
    <t>Pino's</t>
  </si>
  <si>
    <t>Food Basics</t>
  </si>
  <si>
    <t>Rome's</t>
  </si>
  <si>
    <t>Paesano Foods</t>
  </si>
  <si>
    <t>RJ's Market</t>
  </si>
  <si>
    <t>No Frills</t>
  </si>
  <si>
    <t>Bulk Barn</t>
  </si>
  <si>
    <t>Country Way Health Food Store</t>
  </si>
  <si>
    <t>Tamarack Health Food and Gifts</t>
  </si>
  <si>
    <t>The Wellness Store</t>
  </si>
  <si>
    <t>Prime Cuts Meat &amp; Deli</t>
  </si>
  <si>
    <t>Scale Meats Ltd.</t>
  </si>
  <si>
    <t>Bruni's Fine Foods</t>
  </si>
  <si>
    <t>The Trading Post</t>
  </si>
  <si>
    <t>Sweet Greetings</t>
  </si>
  <si>
    <t>Ermatinger/Clergue</t>
  </si>
  <si>
    <t>Homespun Treasures</t>
  </si>
  <si>
    <t>Toni's Cakery</t>
  </si>
  <si>
    <t>Shabby Motley Handcraft</t>
  </si>
  <si>
    <t>Type</t>
  </si>
  <si>
    <t>Grocery/Butcher</t>
  </si>
  <si>
    <t>Grocery</t>
  </si>
  <si>
    <t>Bulk</t>
  </si>
  <si>
    <t>Specialty</t>
  </si>
  <si>
    <t>River Rock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</si>
</sst>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&quot;$&quot;#,##0;\-&quot;$&quot;#,##0"/>
    <numFmt numFmtId="165" formatCode="&quot;$&quot;#,##0.00;\-&quot;$&quot;#,##0.00"/>
    <numFmt numFmtId="166" formatCode="&quot;$&quot;#,##0.00;[Red]\-&quot;$&quot;#,##0.00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(* #,##0_);_(* \(#,##0\);_(* &quot;-&quot;??_);_(@_)"/>
    <numFmt numFmtId="170" formatCode="&quot;$&quot;#,##0.00"/>
    <numFmt numFmtId="171" formatCode="0.0%"/>
    <numFmt numFmtId="172" formatCode="_-* #,##0_-;\-* #,##0_-;_-* &quot;-&quot;??_-;_-@_-"/>
    <numFmt numFmtId="173" formatCode="_(* #,##0_);_(* \(#,##0\);_(* &quot;-&quot;?_);_(@_)"/>
    <numFmt numFmtId="174" formatCode="#,##0_ ;\-#,##0\ "/>
    <numFmt numFmtId="175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18"/>
      <name val="Arial"/>
      <family val="2"/>
    </font>
    <font>
      <sz val="10"/>
      <name val="Microsoft Sans Serif"/>
      <family val="2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10" fontId="0" fillId="0" borderId="0" xfId="4" applyNumberFormat="1" applyFont="1"/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4" xfId="0" applyFill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170" fontId="0" fillId="0" borderId="9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0" fontId="0" fillId="0" borderId="26" xfId="0" applyBorder="1"/>
    <xf numFmtId="170" fontId="0" fillId="0" borderId="2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0" fontId="0" fillId="0" borderId="37" xfId="0" applyNumberFormat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70" fontId="0" fillId="0" borderId="38" xfId="0" applyNumberFormat="1" applyBorder="1" applyAlignment="1">
      <alignment horizontal="center"/>
    </xf>
    <xf numFmtId="170" fontId="0" fillId="0" borderId="31" xfId="0" applyNumberFormat="1" applyBorder="1" applyAlignment="1">
      <alignment horizontal="center"/>
    </xf>
    <xf numFmtId="170" fontId="0" fillId="0" borderId="35" xfId="0" applyNumberFormat="1" applyBorder="1" applyAlignment="1">
      <alignment horizontal="center"/>
    </xf>
    <xf numFmtId="170" fontId="0" fillId="0" borderId="36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170" fontId="0" fillId="0" borderId="33" xfId="0" applyNumberFormat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0" fillId="0" borderId="34" xfId="0" applyNumberForma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41" xfId="0" applyNumberFormat="1" applyFill="1" applyBorder="1" applyAlignment="1">
      <alignment horizontal="center"/>
    </xf>
    <xf numFmtId="170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0" xfId="0" applyNumberFormat="1" applyBorder="1"/>
    <xf numFmtId="170" fontId="0" fillId="0" borderId="19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45" xfId="0" applyNumberFormat="1" applyBorder="1" applyAlignment="1">
      <alignment horizontal="center"/>
    </xf>
    <xf numFmtId="170" fontId="0" fillId="0" borderId="46" xfId="0" applyNumberFormat="1" applyBorder="1" applyAlignment="1">
      <alignment horizontal="center"/>
    </xf>
    <xf numFmtId="170" fontId="0" fillId="0" borderId="32" xfId="0" applyNumberFormat="1" applyBorder="1" applyAlignment="1">
      <alignment horizontal="center"/>
    </xf>
    <xf numFmtId="170" fontId="0" fillId="0" borderId="1" xfId="0" applyNumberFormat="1" applyBorder="1"/>
    <xf numFmtId="170" fontId="0" fillId="0" borderId="1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70" fontId="0" fillId="0" borderId="2" xfId="0" applyNumberFormat="1" applyBorder="1"/>
    <xf numFmtId="170" fontId="0" fillId="0" borderId="34" xfId="0" applyNumberFormat="1" applyBorder="1" applyAlignment="1">
      <alignment horizontal="center"/>
    </xf>
    <xf numFmtId="170" fontId="0" fillId="0" borderId="6" xfId="0" applyNumberFormat="1" applyBorder="1"/>
    <xf numFmtId="170" fontId="0" fillId="0" borderId="47" xfId="0" applyNumberFormat="1" applyBorder="1" applyAlignment="1">
      <alignment horizontal="center"/>
    </xf>
    <xf numFmtId="170" fontId="0" fillId="0" borderId="0" xfId="0" applyNumberFormat="1"/>
    <xf numFmtId="0" fontId="6" fillId="0" borderId="0" xfId="0" applyFont="1"/>
    <xf numFmtId="0" fontId="10" fillId="0" borderId="0" xfId="0" applyFont="1"/>
    <xf numFmtId="0" fontId="1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8" fillId="2" borderId="0" xfId="0" applyFont="1" applyFill="1"/>
    <xf numFmtId="0" fontId="9" fillId="0" borderId="0" xfId="0" applyFont="1"/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72" fontId="16" fillId="3" borderId="0" xfId="1" applyNumberFormat="1" applyFont="1" applyFill="1" applyAlignment="1">
      <alignment horizontal="center" vertical="center"/>
    </xf>
    <xf numFmtId="0" fontId="0" fillId="3" borderId="0" xfId="0" applyFill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/>
    <xf numFmtId="9" fontId="0" fillId="0" borderId="0" xfId="4" applyFont="1"/>
    <xf numFmtId="169" fontId="0" fillId="0" borderId="0" xfId="1" applyNumberFormat="1" applyFont="1"/>
    <xf numFmtId="168" fontId="0" fillId="0" borderId="0" xfId="0" applyNumberFormat="1"/>
    <xf numFmtId="0" fontId="19" fillId="0" borderId="0" xfId="0" applyFont="1"/>
    <xf numFmtId="1" fontId="0" fillId="0" borderId="0" xfId="0" applyNumberFormat="1"/>
    <xf numFmtId="43" fontId="0" fillId="0" borderId="0" xfId="1" applyFont="1"/>
    <xf numFmtId="3" fontId="0" fillId="0" borderId="0" xfId="0" applyNumberFormat="1"/>
    <xf numFmtId="37" fontId="0" fillId="0" borderId="0" xfId="0" applyNumberFormat="1" applyFill="1" applyBorder="1" applyAlignment="1">
      <alignment horizontal="center"/>
    </xf>
    <xf numFmtId="169" fontId="0" fillId="0" borderId="0" xfId="1" applyNumberFormat="1" applyFont="1" applyFill="1" applyBorder="1" applyAlignment="1">
      <alignment horizontal="center"/>
    </xf>
    <xf numFmtId="169" fontId="0" fillId="0" borderId="0" xfId="0" applyNumberFormat="1"/>
    <xf numFmtId="172" fontId="0" fillId="0" borderId="0" xfId="0" applyNumberFormat="1"/>
    <xf numFmtId="0" fontId="8" fillId="0" borderId="0" xfId="0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69" fontId="8" fillId="0" borderId="0" xfId="0" applyNumberFormat="1" applyFont="1"/>
    <xf numFmtId="9" fontId="0" fillId="0" borderId="0" xfId="4" applyNumberFormat="1" applyFont="1"/>
    <xf numFmtId="9" fontId="0" fillId="0" borderId="0" xfId="0" applyNumberFormat="1"/>
    <xf numFmtId="1" fontId="0" fillId="3" borderId="0" xfId="0" applyNumberFormat="1" applyFill="1" applyAlignment="1">
      <alignment horizontal="center" vertical="center"/>
    </xf>
    <xf numFmtId="0" fontId="0" fillId="2" borderId="7" xfId="0" applyFill="1" applyBorder="1"/>
    <xf numFmtId="1" fontId="0" fillId="3" borderId="7" xfId="0" applyNumberFormat="1" applyFill="1" applyBorder="1" applyAlignment="1">
      <alignment horizontal="center" vertical="center"/>
    </xf>
    <xf numFmtId="0" fontId="20" fillId="0" borderId="0" xfId="0" applyFont="1"/>
    <xf numFmtId="165" fontId="0" fillId="0" borderId="0" xfId="0" applyNumberFormat="1"/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9" fontId="16" fillId="0" borderId="0" xfId="4" applyNumberFormat="1" applyFont="1" applyFill="1" applyAlignment="1">
      <alignment horizontal="center"/>
    </xf>
    <xf numFmtId="164" fontId="16" fillId="0" borderId="0" xfId="3" applyNumberFormat="1" applyFont="1" applyFill="1" applyAlignment="1">
      <alignment horizontal="center" vertical="center"/>
    </xf>
    <xf numFmtId="174" fontId="10" fillId="0" borderId="0" xfId="1" applyNumberFormat="1" applyFont="1" applyFill="1" applyAlignment="1">
      <alignment horizontal="center" vertical="center"/>
    </xf>
    <xf numFmtId="174" fontId="10" fillId="0" borderId="7" xfId="1" applyNumberFormat="1" applyFont="1" applyFill="1" applyBorder="1" applyAlignment="1">
      <alignment horizontal="center" vertical="center"/>
    </xf>
    <xf numFmtId="164" fontId="11" fillId="0" borderId="0" xfId="3" applyNumberFormat="1" applyFont="1" applyFill="1" applyAlignment="1">
      <alignment horizontal="center" vertical="center"/>
    </xf>
    <xf numFmtId="10" fontId="16" fillId="0" borderId="0" xfId="4" applyNumberFormat="1" applyFont="1" applyFill="1" applyAlignment="1">
      <alignment horizontal="center"/>
    </xf>
    <xf numFmtId="175" fontId="16" fillId="0" borderId="0" xfId="3" applyNumberFormat="1" applyFont="1" applyFill="1" applyAlignment="1">
      <alignment horizontal="center"/>
    </xf>
    <xf numFmtId="175" fontId="16" fillId="0" borderId="0" xfId="3" applyNumberFormat="1" applyFont="1" applyFill="1" applyAlignment="1">
      <alignment horizontal="center" vertical="center"/>
    </xf>
    <xf numFmtId="164" fontId="16" fillId="0" borderId="0" xfId="3" applyNumberFormat="1" applyFont="1" applyFill="1" applyAlignment="1">
      <alignment horizontal="center"/>
    </xf>
    <xf numFmtId="3" fontId="10" fillId="0" borderId="0" xfId="1" applyNumberFormat="1" applyFont="1" applyFill="1" applyAlignment="1">
      <alignment horizontal="center"/>
    </xf>
    <xf numFmtId="1" fontId="10" fillId="0" borderId="0" xfId="1" applyNumberFormat="1" applyFont="1" applyFill="1" applyAlignment="1">
      <alignment horizontal="center" vertical="center"/>
    </xf>
    <xf numFmtId="1" fontId="10" fillId="0" borderId="0" xfId="1" applyNumberFormat="1" applyFont="1" applyFill="1" applyAlignment="1">
      <alignment horizontal="center"/>
    </xf>
    <xf numFmtId="3" fontId="10" fillId="0" borderId="7" xfId="1" applyNumberFormat="1" applyFont="1" applyFill="1" applyBorder="1" applyAlignment="1">
      <alignment horizontal="center"/>
    </xf>
    <xf numFmtId="1" fontId="10" fillId="0" borderId="7" xfId="1" applyNumberFormat="1" applyFont="1" applyFill="1" applyBorder="1" applyAlignment="1">
      <alignment horizontal="center" vertical="center"/>
    </xf>
    <xf numFmtId="1" fontId="10" fillId="0" borderId="7" xfId="1" applyNumberFormat="1" applyFont="1" applyFill="1" applyBorder="1" applyAlignment="1">
      <alignment horizontal="center"/>
    </xf>
    <xf numFmtId="173" fontId="17" fillId="0" borderId="0" xfId="1" applyNumberFormat="1" applyFont="1" applyFill="1"/>
    <xf numFmtId="3" fontId="17" fillId="0" borderId="0" xfId="1" applyNumberFormat="1" applyFont="1" applyFill="1" applyAlignment="1">
      <alignment horizontal="center" vertical="center"/>
    </xf>
    <xf numFmtId="3" fontId="11" fillId="0" borderId="0" xfId="3" applyNumberFormat="1" applyFont="1" applyFill="1" applyAlignment="1">
      <alignment horizontal="center"/>
    </xf>
    <xf numFmtId="164" fontId="11" fillId="0" borderId="0" xfId="3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/>
    </xf>
    <xf numFmtId="171" fontId="15" fillId="3" borderId="0" xfId="4" applyNumberFormat="1" applyFont="1" applyFill="1" applyAlignment="1">
      <alignment horizontal="center"/>
    </xf>
    <xf numFmtId="164" fontId="11" fillId="3" borderId="0" xfId="3" applyNumberFormat="1" applyFont="1" applyFill="1" applyAlignment="1">
      <alignment horizontal="center" vertical="center"/>
    </xf>
    <xf numFmtId="174" fontId="9" fillId="3" borderId="0" xfId="1" applyNumberFormat="1" applyFont="1" applyFill="1" applyAlignment="1">
      <alignment horizontal="center" vertical="center"/>
    </xf>
    <xf numFmtId="174" fontId="9" fillId="3" borderId="7" xfId="1" applyNumberFormat="1" applyFont="1" applyFill="1" applyBorder="1" applyAlignment="1">
      <alignment horizontal="center" vertical="center"/>
    </xf>
    <xf numFmtId="169" fontId="18" fillId="3" borderId="0" xfId="1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9" fontId="8" fillId="0" borderId="0" xfId="4" applyFont="1" applyAlignment="1">
      <alignment horizontal="center"/>
    </xf>
    <xf numFmtId="174" fontId="10" fillId="4" borderId="0" xfId="1" applyNumberFormat="1" applyFont="1" applyFill="1" applyAlignment="1">
      <alignment horizontal="center" vertical="center"/>
    </xf>
    <xf numFmtId="171" fontId="16" fillId="0" borderId="0" xfId="4" applyNumberFormat="1" applyFont="1" applyFill="1" applyAlignment="1">
      <alignment horizontal="center"/>
    </xf>
    <xf numFmtId="164" fontId="0" fillId="0" borderId="0" xfId="0" applyNumberFormat="1"/>
    <xf numFmtId="0" fontId="0" fillId="0" borderId="0" xfId="0" applyAlignment="1">
      <alignment textRotation="90"/>
    </xf>
    <xf numFmtId="0" fontId="0" fillId="0" borderId="0" xfId="0" applyFill="1" applyAlignment="1">
      <alignment textRotation="90"/>
    </xf>
    <xf numFmtId="0" fontId="0" fillId="0" borderId="0" xfId="0" applyFill="1"/>
    <xf numFmtId="17" fontId="0" fillId="0" borderId="0" xfId="0" applyNumberFormat="1"/>
    <xf numFmtId="0" fontId="0" fillId="5" borderId="0" xfId="0" applyFill="1"/>
    <xf numFmtId="0" fontId="0" fillId="6" borderId="0" xfId="0" applyFill="1"/>
    <xf numFmtId="0" fontId="21" fillId="0" borderId="0" xfId="0" applyFont="1"/>
    <xf numFmtId="9" fontId="0" fillId="0" borderId="0" xfId="0" applyNumberFormat="1" applyFont="1"/>
    <xf numFmtId="9" fontId="0" fillId="0" borderId="0" xfId="4" applyFont="1" applyAlignment="1">
      <alignment horizontal="left" vertical="top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Font="1" applyBorder="1"/>
    <xf numFmtId="0" fontId="0" fillId="0" borderId="25" xfId="0" applyBorder="1" applyAlignment="1">
      <alignment horizontal="center" vertical="center"/>
    </xf>
    <xf numFmtId="0" fontId="0" fillId="0" borderId="25" xfId="0" applyBorder="1"/>
    <xf numFmtId="9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top"/>
    </xf>
    <xf numFmtId="166" fontId="0" fillId="0" borderId="25" xfId="0" applyNumberFormat="1" applyBorder="1" applyAlignment="1">
      <alignment horizontal="center" vertical="center"/>
    </xf>
    <xf numFmtId="170" fontId="0" fillId="0" borderId="25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wrapText="1"/>
    </xf>
    <xf numFmtId="0" fontId="0" fillId="0" borderId="25" xfId="0" applyBorder="1" applyAlignment="1">
      <alignment horizontal="left" vertical="center" wrapText="1"/>
    </xf>
    <xf numFmtId="0" fontId="22" fillId="0" borderId="25" xfId="0" applyFont="1" applyBorder="1"/>
    <xf numFmtId="166" fontId="2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2" fillId="0" borderId="25" xfId="0" applyNumberFormat="1" applyFont="1" applyBorder="1" applyAlignment="1">
      <alignment horizontal="center" vertical="center"/>
    </xf>
    <xf numFmtId="168" fontId="2" fillId="0" borderId="25" xfId="1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</cellXfs>
  <cellStyles count="5">
    <cellStyle name="Comma" xfId="1" builtinId="3"/>
    <cellStyle name="Comma 3" xfId="2"/>
    <cellStyle name="Currency" xfId="3" builtinId="4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9" workbookViewId="0">
      <selection activeCell="A28" sqref="A28"/>
    </sheetView>
  </sheetViews>
  <sheetFormatPr defaultColWidth="8.85546875" defaultRowHeight="15" x14ac:dyDescent="0.25"/>
  <cols>
    <col min="1" max="1" width="22.85546875" bestFit="1" customWidth="1"/>
    <col min="2" max="2" width="11.42578125" bestFit="1" customWidth="1"/>
    <col min="3" max="3" width="12" bestFit="1" customWidth="1"/>
    <col min="4" max="4" width="15.42578125" bestFit="1" customWidth="1"/>
    <col min="5" max="5" width="12" bestFit="1" customWidth="1"/>
    <col min="6" max="6" width="10.42578125" bestFit="1" customWidth="1"/>
    <col min="7" max="7" width="9.42578125" bestFit="1" customWidth="1"/>
    <col min="8" max="8" width="10.42578125" bestFit="1" customWidth="1"/>
    <col min="9" max="9" width="11.28515625" bestFit="1" customWidth="1"/>
    <col min="10" max="10" width="22.42578125" bestFit="1" customWidth="1"/>
  </cols>
  <sheetData>
    <row r="1" spans="1:10" x14ac:dyDescent="0.25">
      <c r="A1" s="134" t="s">
        <v>107</v>
      </c>
    </row>
    <row r="2" spans="1:10" x14ac:dyDescent="0.25">
      <c r="B2" t="s">
        <v>85</v>
      </c>
      <c r="C2" t="s">
        <v>86</v>
      </c>
      <c r="D2" t="s">
        <v>103</v>
      </c>
      <c r="E2" t="s">
        <v>87</v>
      </c>
      <c r="F2" t="s">
        <v>88</v>
      </c>
      <c r="G2" t="s">
        <v>28</v>
      </c>
      <c r="H2" t="s">
        <v>93</v>
      </c>
      <c r="J2" t="s">
        <v>137</v>
      </c>
    </row>
    <row r="3" spans="1:10" x14ac:dyDescent="0.25">
      <c r="A3" t="s">
        <v>82</v>
      </c>
      <c r="B3" s="136">
        <f>'onfarm store assumptions'!C4*'Market Potential'!$C$25*4</f>
        <v>305198.39999999997</v>
      </c>
      <c r="C3" s="136">
        <f>'onfarm store assumptions'!D4*'Market Potential'!$C$25*4</f>
        <v>109371.61846153846</v>
      </c>
      <c r="D3" s="136">
        <f>'onfarm store assumptions'!E4*'Market Potential'!$C$25*4</f>
        <v>46873.550769230766</v>
      </c>
      <c r="E3" s="136">
        <f>'onfarm store assumptions'!F4*'Market Potential'!$C$25*4</f>
        <v>242180.01230769229</v>
      </c>
      <c r="F3" s="136">
        <f>'onfarm store assumptions'!G4*'Market Potential'!$C$25*4</f>
        <v>93747.101538461531</v>
      </c>
      <c r="G3">
        <f>'onfarm store assumptions'!I4*'Market Potential'!C25*4</f>
        <v>4224</v>
      </c>
      <c r="H3" s="136">
        <f>'onfarm store assumptions'!H4*'Market Potential'!$C$25*4</f>
        <v>78490.163429999986</v>
      </c>
      <c r="J3" t="s">
        <v>138</v>
      </c>
    </row>
    <row r="4" spans="1:10" x14ac:dyDescent="0.25">
      <c r="A4" t="s">
        <v>83</v>
      </c>
      <c r="B4" s="136">
        <f>'onfarm store assumptions'!C24</f>
        <v>120000</v>
      </c>
      <c r="C4" s="136">
        <f>'onfarm store assumptions'!D24</f>
        <v>249600</v>
      </c>
      <c r="D4" s="136">
        <f>'onfarm store assumptions'!E24</f>
        <v>134400</v>
      </c>
      <c r="E4" s="136">
        <f>'onfarm store assumptions'!F24</f>
        <v>355200</v>
      </c>
      <c r="F4" s="136">
        <f>'onfarm store assumptions'!G24</f>
        <v>220800</v>
      </c>
      <c r="G4" s="136">
        <f>'onfarm store assumptions'!I24</f>
        <v>12121.758737316797</v>
      </c>
      <c r="H4" s="136">
        <f>'onfarm store assumptions'!H24</f>
        <v>54240</v>
      </c>
      <c r="I4" s="144">
        <f>SUM(B4:H4)</f>
        <v>1146361.7587373168</v>
      </c>
      <c r="J4" t="s">
        <v>139</v>
      </c>
    </row>
    <row r="5" spans="1:10" x14ac:dyDescent="0.25">
      <c r="A5" t="s">
        <v>84</v>
      </c>
      <c r="B5" s="136">
        <f>'onfarm store assumptions'!C27*4</f>
        <v>240000</v>
      </c>
      <c r="J5" t="s">
        <v>286</v>
      </c>
    </row>
    <row r="6" spans="1:10" x14ac:dyDescent="0.25">
      <c r="A6" s="134" t="s">
        <v>124</v>
      </c>
      <c r="B6" s="148">
        <f t="shared" ref="B6:H6" si="0">SUM(B3:B5)</f>
        <v>665198.39999999991</v>
      </c>
      <c r="C6" s="148">
        <f t="shared" si="0"/>
        <v>358971.61846153846</v>
      </c>
      <c r="D6" s="148">
        <f t="shared" si="0"/>
        <v>181273.55076923076</v>
      </c>
      <c r="E6" s="148">
        <f t="shared" si="0"/>
        <v>597380.01230769232</v>
      </c>
      <c r="F6" s="148">
        <f t="shared" si="0"/>
        <v>314547.10153846152</v>
      </c>
      <c r="G6" s="148">
        <f t="shared" si="0"/>
        <v>16345.758737316797</v>
      </c>
      <c r="H6" s="148">
        <f t="shared" si="0"/>
        <v>132730.16342999999</v>
      </c>
    </row>
    <row r="8" spans="1:10" x14ac:dyDescent="0.25">
      <c r="B8" t="s">
        <v>112</v>
      </c>
      <c r="C8" t="s">
        <v>115</v>
      </c>
      <c r="D8" t="s">
        <v>116</v>
      </c>
      <c r="E8" t="s">
        <v>117</v>
      </c>
      <c r="F8" t="s">
        <v>88</v>
      </c>
      <c r="G8" t="s">
        <v>28</v>
      </c>
      <c r="H8" t="s">
        <v>93</v>
      </c>
    </row>
    <row r="9" spans="1:10" x14ac:dyDescent="0.25">
      <c r="A9" s="134" t="s">
        <v>108</v>
      </c>
    </row>
    <row r="10" spans="1:10" x14ac:dyDescent="0.25">
      <c r="A10" t="s">
        <v>104</v>
      </c>
      <c r="B10" s="136">
        <f>'Retailer Questionaire Yogurt'!H17*4*1000</f>
        <v>0</v>
      </c>
      <c r="J10" t="s">
        <v>140</v>
      </c>
    </row>
    <row r="11" spans="1:10" x14ac:dyDescent="0.25">
      <c r="A11" t="s">
        <v>105</v>
      </c>
      <c r="C11" s="136">
        <f>'Retailer Questionaire Milk'!AA19*1000*4</f>
        <v>262000</v>
      </c>
      <c r="D11" s="136">
        <f>'Retailer Questionaire Milk'!X19*1000*4</f>
        <v>274000</v>
      </c>
      <c r="E11" s="136">
        <f>'Retailer Questionaire Milk'!AD19*1000*4</f>
        <v>292000</v>
      </c>
      <c r="F11" s="136">
        <f>'Retailer Questionaire Milk'!AG19*1000*4</f>
        <v>350000</v>
      </c>
      <c r="G11" s="136">
        <f>'Retailer Questionaire Milk'!AZ19*1000*4</f>
        <v>218000</v>
      </c>
      <c r="H11" s="136">
        <f>'Retailer Questionaire Milk'!AV15*454</f>
        <v>26332</v>
      </c>
      <c r="J11" t="s">
        <v>140</v>
      </c>
    </row>
    <row r="13" spans="1:10" x14ac:dyDescent="0.25">
      <c r="A13" s="134" t="s">
        <v>120</v>
      </c>
      <c r="I13" s="146" t="s">
        <v>16</v>
      </c>
    </row>
    <row r="14" spans="1:10" x14ac:dyDescent="0.25">
      <c r="B14" t="s">
        <v>85</v>
      </c>
      <c r="C14" t="s">
        <v>86</v>
      </c>
      <c r="D14" t="s">
        <v>103</v>
      </c>
      <c r="E14" t="s">
        <v>87</v>
      </c>
      <c r="F14" t="s">
        <v>88</v>
      </c>
      <c r="G14" t="s">
        <v>28</v>
      </c>
      <c r="H14" t="s">
        <v>93</v>
      </c>
      <c r="I14" s="146"/>
    </row>
    <row r="15" spans="1:10" x14ac:dyDescent="0.25">
      <c r="A15" t="s">
        <v>118</v>
      </c>
      <c r="B15" s="144">
        <f>B6+B10</f>
        <v>665198.39999999991</v>
      </c>
      <c r="C15" s="144">
        <f t="shared" ref="C15:H15" si="1">C6+C11</f>
        <v>620971.61846153846</v>
      </c>
      <c r="D15" s="144">
        <f t="shared" si="1"/>
        <v>455273.55076923076</v>
      </c>
      <c r="E15" s="144">
        <f t="shared" si="1"/>
        <v>889380.01230769232</v>
      </c>
      <c r="F15" s="144">
        <f t="shared" si="1"/>
        <v>664547.10153846152</v>
      </c>
      <c r="G15" s="144">
        <f t="shared" si="1"/>
        <v>234345.75873731679</v>
      </c>
      <c r="H15" s="144">
        <f t="shared" si="1"/>
        <v>159062.16342999999</v>
      </c>
      <c r="I15" s="147">
        <f>SUM(B15:H15)</f>
        <v>3688778.6052442403</v>
      </c>
    </row>
    <row r="16" spans="1:10" x14ac:dyDescent="0.25">
      <c r="A16" t="s">
        <v>119</v>
      </c>
      <c r="B16" s="145">
        <f t="shared" ref="B16:H16" si="2">B15/1000</f>
        <v>665.19839999999988</v>
      </c>
      <c r="C16" s="145">
        <f t="shared" si="2"/>
        <v>620.97161846153847</v>
      </c>
      <c r="D16" s="145">
        <f t="shared" si="2"/>
        <v>455.27355076923078</v>
      </c>
      <c r="E16" s="145">
        <f t="shared" si="2"/>
        <v>889.38001230769237</v>
      </c>
      <c r="F16" s="145">
        <f t="shared" si="2"/>
        <v>664.54710153846156</v>
      </c>
      <c r="G16" s="145">
        <f t="shared" si="2"/>
        <v>234.3457587373168</v>
      </c>
      <c r="H16" s="145">
        <f t="shared" si="2"/>
        <v>159.06216343</v>
      </c>
      <c r="I16" s="147">
        <f>SUM(B16:H16)</f>
        <v>3688.7786052442398</v>
      </c>
    </row>
    <row r="17" spans="1:10" x14ac:dyDescent="0.25">
      <c r="J17" s="135"/>
    </row>
    <row r="18" spans="1:10" x14ac:dyDescent="0.25">
      <c r="A18" s="134" t="s">
        <v>122</v>
      </c>
    </row>
    <row r="19" spans="1:10" x14ac:dyDescent="0.25">
      <c r="A19" t="s">
        <v>62</v>
      </c>
      <c r="B19" t="s">
        <v>85</v>
      </c>
      <c r="C19" t="s">
        <v>86</v>
      </c>
      <c r="D19" t="s">
        <v>103</v>
      </c>
      <c r="E19" t="s">
        <v>87</v>
      </c>
      <c r="F19" t="s">
        <v>88</v>
      </c>
      <c r="G19" t="s">
        <v>28</v>
      </c>
      <c r="H19" t="s">
        <v>93</v>
      </c>
    </row>
    <row r="20" spans="1:10" x14ac:dyDescent="0.25">
      <c r="B20" s="135">
        <f>B6/I15</f>
        <v>0.18033025865371935</v>
      </c>
      <c r="C20" s="135">
        <f>C6/I15</f>
        <v>9.731449264837902E-2</v>
      </c>
      <c r="D20" s="135">
        <f>D6/I15</f>
        <v>4.9141889543470804E-2</v>
      </c>
      <c r="E20" s="135">
        <f>E6/I15</f>
        <v>0.16194520632341902</v>
      </c>
      <c r="F20" s="135">
        <f>F6/I15</f>
        <v>8.5271341872151962E-2</v>
      </c>
      <c r="G20" s="2">
        <f>G6/I15</f>
        <v>4.4312116520298771E-3</v>
      </c>
      <c r="H20" s="149">
        <f>H6/I15</f>
        <v>3.5982144127950907E-2</v>
      </c>
      <c r="I20" s="150">
        <f>SUM(B20:H20)</f>
        <v>0.61441654482112085</v>
      </c>
    </row>
    <row r="21" spans="1:10" x14ac:dyDescent="0.25">
      <c r="A21" t="s">
        <v>123</v>
      </c>
      <c r="B21" t="s">
        <v>85</v>
      </c>
      <c r="C21" t="s">
        <v>86</v>
      </c>
      <c r="D21" t="s">
        <v>103</v>
      </c>
      <c r="E21" t="s">
        <v>87</v>
      </c>
      <c r="F21" t="s">
        <v>88</v>
      </c>
      <c r="G21" t="s">
        <v>28</v>
      </c>
      <c r="H21" t="s">
        <v>93</v>
      </c>
    </row>
    <row r="22" spans="1:10" x14ac:dyDescent="0.25">
      <c r="B22" s="135">
        <f>B10/I15</f>
        <v>0</v>
      </c>
      <c r="C22" s="135">
        <f t="shared" ref="C22:H22" si="3">C11/$I$15</f>
        <v>7.1026219797393486E-2</v>
      </c>
      <c r="D22" s="135">
        <f t="shared" si="3"/>
        <v>7.4279329101090905E-2</v>
      </c>
      <c r="E22" s="135">
        <f t="shared" si="3"/>
        <v>7.9158993056637025E-2</v>
      </c>
      <c r="F22" s="135">
        <f t="shared" si="3"/>
        <v>9.4882354691174509E-2</v>
      </c>
      <c r="G22" s="135">
        <f t="shared" si="3"/>
        <v>5.9098152350502982E-2</v>
      </c>
      <c r="H22" s="135">
        <f t="shared" si="3"/>
        <v>7.1384061820800202E-3</v>
      </c>
      <c r="I22" s="150">
        <f>SUM(B22:H22)</f>
        <v>0.38558345517887893</v>
      </c>
    </row>
    <row r="23" spans="1:10" x14ac:dyDescent="0.25">
      <c r="I23" s="150">
        <f>SUM(I20:I22)</f>
        <v>0.99999999999999978</v>
      </c>
    </row>
    <row r="25" spans="1:10" x14ac:dyDescent="0.25">
      <c r="B25" t="s">
        <v>92</v>
      </c>
      <c r="C25">
        <v>2</v>
      </c>
    </row>
    <row r="28" spans="1:10" x14ac:dyDescent="0.25">
      <c r="A28" t="s">
        <v>292</v>
      </c>
      <c r="B28" t="s">
        <v>289</v>
      </c>
      <c r="C28" t="s">
        <v>290</v>
      </c>
      <c r="D28" t="s">
        <v>291</v>
      </c>
    </row>
    <row r="29" spans="1:10" x14ac:dyDescent="0.25">
      <c r="B29">
        <v>3400</v>
      </c>
      <c r="C29">
        <v>5800</v>
      </c>
      <c r="D29">
        <v>8200</v>
      </c>
    </row>
    <row r="30" spans="1:10" x14ac:dyDescent="0.25">
      <c r="B30">
        <v>3600</v>
      </c>
      <c r="C30">
        <v>6000</v>
      </c>
      <c r="D30">
        <v>8400</v>
      </c>
    </row>
    <row r="31" spans="1:10" x14ac:dyDescent="0.25">
      <c r="B31">
        <v>3800</v>
      </c>
      <c r="C31">
        <v>6200</v>
      </c>
      <c r="D31">
        <v>8600</v>
      </c>
    </row>
    <row r="32" spans="1:10" x14ac:dyDescent="0.25">
      <c r="B32">
        <v>4000</v>
      </c>
      <c r="C32">
        <v>6400</v>
      </c>
      <c r="D32">
        <v>8800</v>
      </c>
    </row>
    <row r="33" spans="1:4" x14ac:dyDescent="0.25">
      <c r="B33">
        <v>4200</v>
      </c>
      <c r="C33">
        <v>6600</v>
      </c>
      <c r="D33">
        <v>9000</v>
      </c>
    </row>
    <row r="34" spans="1:4" x14ac:dyDescent="0.25">
      <c r="B34">
        <v>4400</v>
      </c>
      <c r="C34">
        <v>6800</v>
      </c>
      <c r="D34">
        <v>9200</v>
      </c>
    </row>
    <row r="35" spans="1:4" x14ac:dyDescent="0.25">
      <c r="B35">
        <v>4600</v>
      </c>
      <c r="C35">
        <v>7000</v>
      </c>
      <c r="D35">
        <v>9400</v>
      </c>
    </row>
    <row r="36" spans="1:4" x14ac:dyDescent="0.25">
      <c r="B36">
        <v>4800</v>
      </c>
      <c r="C36">
        <v>7200</v>
      </c>
      <c r="D36">
        <v>9600</v>
      </c>
    </row>
    <row r="37" spans="1:4" x14ac:dyDescent="0.25">
      <c r="B37">
        <v>5000</v>
      </c>
      <c r="C37">
        <v>7400</v>
      </c>
      <c r="D37">
        <v>9800</v>
      </c>
    </row>
    <row r="38" spans="1:4" x14ac:dyDescent="0.25">
      <c r="B38">
        <v>5200</v>
      </c>
      <c r="C38">
        <v>7600</v>
      </c>
      <c r="D38">
        <v>10000</v>
      </c>
    </row>
    <row r="39" spans="1:4" x14ac:dyDescent="0.25">
      <c r="B39">
        <v>5400</v>
      </c>
      <c r="C39">
        <v>7800</v>
      </c>
      <c r="D39">
        <v>10200</v>
      </c>
    </row>
    <row r="40" spans="1:4" x14ac:dyDescent="0.25">
      <c r="B40">
        <v>5600</v>
      </c>
      <c r="C40">
        <v>8000</v>
      </c>
      <c r="D40">
        <v>10400</v>
      </c>
    </row>
    <row r="41" spans="1:4" x14ac:dyDescent="0.25">
      <c r="A41" t="s">
        <v>58</v>
      </c>
      <c r="B41">
        <f>SUM(B29:B40)</f>
        <v>54000</v>
      </c>
      <c r="C41">
        <f>SUM(C29:C40)</f>
        <v>82800</v>
      </c>
      <c r="D41">
        <f>SUM(D29:D40)</f>
        <v>111600</v>
      </c>
    </row>
    <row r="42" spans="1:4" x14ac:dyDescent="0.25">
      <c r="A42" t="s">
        <v>288</v>
      </c>
      <c r="B42">
        <f>AVERAGE(B29:B40)</f>
        <v>4500</v>
      </c>
      <c r="C42">
        <f>AVERAGE(C29:C40)</f>
        <v>6900</v>
      </c>
      <c r="D42">
        <f>AVERAGE(D29:D40)</f>
        <v>9300</v>
      </c>
    </row>
  </sheetData>
  <phoneticPr fontId="5" type="noConversion"/>
  <printOptions gridLines="1"/>
  <pageMargins left="0.70866141732283472" right="0.70866141732283472" top="0.74803149606299213" bottom="0.62992125984251968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topLeftCell="C1" workbookViewId="0">
      <selection activeCell="B5" sqref="B5"/>
    </sheetView>
  </sheetViews>
  <sheetFormatPr defaultColWidth="8.85546875" defaultRowHeight="15" x14ac:dyDescent="0.25"/>
  <cols>
    <col min="1" max="1" width="21" bestFit="1" customWidth="1"/>
    <col min="2" max="2" width="16.28515625" bestFit="1" customWidth="1"/>
    <col min="3" max="3" width="12.85546875" bestFit="1" customWidth="1"/>
    <col min="4" max="4" width="9.85546875" bestFit="1" customWidth="1"/>
    <col min="5" max="8" width="9.85546875" customWidth="1"/>
    <col min="9" max="10" width="11" bestFit="1" customWidth="1"/>
    <col min="12" max="12" width="12.85546875" bestFit="1" customWidth="1"/>
    <col min="14" max="14" width="11.140625" bestFit="1" customWidth="1"/>
    <col min="15" max="15" width="10" bestFit="1" customWidth="1"/>
    <col min="16" max="16" width="9.85546875" bestFit="1" customWidth="1"/>
    <col min="17" max="17" width="12.140625" bestFit="1" customWidth="1"/>
  </cols>
  <sheetData>
    <row r="2" spans="1:17" ht="18.75" x14ac:dyDescent="0.3">
      <c r="A2" s="121" t="s">
        <v>60</v>
      </c>
    </row>
    <row r="3" spans="1:17" ht="15.75" x14ac:dyDescent="0.25">
      <c r="A3" s="127" t="s">
        <v>61</v>
      </c>
      <c r="C3" s="133">
        <v>8</v>
      </c>
      <c r="D3" s="133">
        <v>2.7</v>
      </c>
      <c r="E3" s="133">
        <v>3.5</v>
      </c>
      <c r="F3" s="133">
        <v>2.7</v>
      </c>
      <c r="G3" s="133">
        <v>2.7</v>
      </c>
      <c r="H3" s="133">
        <v>5.2</v>
      </c>
      <c r="I3" s="133">
        <v>6.5</v>
      </c>
      <c r="J3" s="133">
        <v>6</v>
      </c>
      <c r="K3" s="133">
        <v>3</v>
      </c>
      <c r="L3" s="133">
        <v>3.45</v>
      </c>
      <c r="M3" s="133">
        <v>3.5</v>
      </c>
      <c r="N3" s="133">
        <v>2.75</v>
      </c>
      <c r="O3" s="133">
        <v>3.9</v>
      </c>
      <c r="P3" s="133">
        <v>4.9000000000000004</v>
      </c>
      <c r="Q3" s="122"/>
    </row>
    <row r="4" spans="1:17" ht="18.75" x14ac:dyDescent="0.3">
      <c r="A4" s="123"/>
      <c r="B4" s="129"/>
      <c r="C4" s="200" t="s">
        <v>62</v>
      </c>
      <c r="D4" s="200"/>
      <c r="E4" s="200"/>
      <c r="F4" s="200"/>
      <c r="G4" s="200"/>
      <c r="H4" s="200"/>
      <c r="I4" s="200"/>
      <c r="J4" s="201" t="s">
        <v>63</v>
      </c>
      <c r="K4" s="201"/>
      <c r="L4" s="201"/>
      <c r="M4" s="201"/>
      <c r="N4" s="201"/>
      <c r="O4" s="201"/>
      <c r="P4" s="201"/>
      <c r="Q4" s="178"/>
    </row>
    <row r="5" spans="1:17" ht="31.5" x14ac:dyDescent="0.25">
      <c r="A5" s="124"/>
      <c r="B5" s="128" t="s">
        <v>287</v>
      </c>
      <c r="C5" s="156" t="s">
        <v>85</v>
      </c>
      <c r="D5" s="157" t="s">
        <v>86</v>
      </c>
      <c r="E5" s="157" t="s">
        <v>103</v>
      </c>
      <c r="F5" s="157" t="s">
        <v>87</v>
      </c>
      <c r="G5" s="156" t="s">
        <v>88</v>
      </c>
      <c r="H5" s="156" t="s">
        <v>65</v>
      </c>
      <c r="I5" s="157" t="s">
        <v>64</v>
      </c>
      <c r="J5" s="156" t="s">
        <v>85</v>
      </c>
      <c r="K5" s="157" t="s">
        <v>86</v>
      </c>
      <c r="L5" s="157" t="s">
        <v>103</v>
      </c>
      <c r="M5" s="157" t="s">
        <v>87</v>
      </c>
      <c r="N5" s="157" t="s">
        <v>88</v>
      </c>
      <c r="O5" s="156" t="s">
        <v>65</v>
      </c>
      <c r="P5" s="156" t="s">
        <v>121</v>
      </c>
      <c r="Q5" s="179" t="s">
        <v>66</v>
      </c>
    </row>
    <row r="6" spans="1:17" ht="15.75" x14ac:dyDescent="0.25">
      <c r="A6" s="124"/>
      <c r="B6" s="129" t="s">
        <v>67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80"/>
    </row>
    <row r="7" spans="1:17" ht="15.75" x14ac:dyDescent="0.25">
      <c r="A7" s="124"/>
      <c r="B7" s="129"/>
      <c r="C7" s="159">
        <f>C32/B32</f>
        <v>0.18033025865371941</v>
      </c>
      <c r="D7" s="159">
        <f>D32/B32</f>
        <v>9.7314492648379061E-2</v>
      </c>
      <c r="E7" s="159">
        <f>E32/$B$32</f>
        <v>4.9141889543470818E-2</v>
      </c>
      <c r="F7" s="159">
        <f t="shared" ref="F7:P7" si="0">F32/$B$32</f>
        <v>0.16194520632341911</v>
      </c>
      <c r="G7" s="159">
        <f t="shared" si="0"/>
        <v>8.5271341872151976E-2</v>
      </c>
      <c r="H7" s="189">
        <f t="shared" si="0"/>
        <v>4.4312116520298789E-3</v>
      </c>
      <c r="I7" s="159">
        <f t="shared" si="0"/>
        <v>3.5982144127950914E-2</v>
      </c>
      <c r="J7" s="159">
        <f>J32/B32</f>
        <v>0</v>
      </c>
      <c r="K7" s="164">
        <f t="shared" si="0"/>
        <v>7.10262197973935E-2</v>
      </c>
      <c r="L7" s="164">
        <f t="shared" si="0"/>
        <v>7.4279329101090918E-2</v>
      </c>
      <c r="M7" s="164">
        <f t="shared" si="0"/>
        <v>7.9158993056637039E-2</v>
      </c>
      <c r="N7" s="164">
        <f t="shared" si="0"/>
        <v>9.4882354691174522E-2</v>
      </c>
      <c r="O7" s="164">
        <f t="shared" si="0"/>
        <v>5.9098152350502996E-2</v>
      </c>
      <c r="P7" s="164">
        <f t="shared" si="0"/>
        <v>7.1384061820800211E-3</v>
      </c>
      <c r="Q7" s="181">
        <f t="shared" ref="Q7:Q31" si="1">SUM(C7:P7)</f>
        <v>1.0000000000000002</v>
      </c>
    </row>
    <row r="8" spans="1:17" ht="15.75" x14ac:dyDescent="0.25">
      <c r="A8" s="126" t="s">
        <v>68</v>
      </c>
      <c r="B8" s="130"/>
      <c r="C8" s="160">
        <f t="shared" ref="C8:P8" si="2">PRODUCT(C9,C3)</f>
        <v>5321.587199999999</v>
      </c>
      <c r="D8" s="160">
        <f t="shared" si="2"/>
        <v>969.2233698461539</v>
      </c>
      <c r="E8" s="160">
        <f t="shared" si="2"/>
        <v>634.45742769230765</v>
      </c>
      <c r="F8" s="160">
        <f t="shared" si="2"/>
        <v>1612.9260332307695</v>
      </c>
      <c r="G8" s="160">
        <f t="shared" si="2"/>
        <v>849.27717415384609</v>
      </c>
      <c r="H8" s="160">
        <f t="shared" si="2"/>
        <v>84.997945434047338</v>
      </c>
      <c r="I8" s="160">
        <f t="shared" si="2"/>
        <v>862.74606229499989</v>
      </c>
      <c r="J8" s="165">
        <f t="shared" si="2"/>
        <v>0</v>
      </c>
      <c r="K8" s="166">
        <f t="shared" si="2"/>
        <v>786</v>
      </c>
      <c r="L8" s="167">
        <f t="shared" si="2"/>
        <v>945.30000000000007</v>
      </c>
      <c r="M8" s="160">
        <f t="shared" si="2"/>
        <v>1022</v>
      </c>
      <c r="N8" s="160">
        <f t="shared" si="2"/>
        <v>962.5</v>
      </c>
      <c r="O8" s="167">
        <f t="shared" si="2"/>
        <v>850.19999999999993</v>
      </c>
      <c r="P8" s="167">
        <f t="shared" si="2"/>
        <v>129.02680000000001</v>
      </c>
      <c r="Q8" s="182">
        <f t="shared" si="1"/>
        <v>15030.242012652125</v>
      </c>
    </row>
    <row r="9" spans="1:17" ht="15.75" x14ac:dyDescent="0.25">
      <c r="A9" s="124" t="s">
        <v>69</v>
      </c>
      <c r="B9" s="151">
        <f>'Market Potential'!$I$16</f>
        <v>3688.7786052442398</v>
      </c>
      <c r="C9" s="161">
        <f>'Market Potential'!$B$6/1000</f>
        <v>665.19839999999988</v>
      </c>
      <c r="D9" s="161">
        <f>'Market Potential'!$C$6/1000</f>
        <v>358.97161846153847</v>
      </c>
      <c r="E9" s="161">
        <f>'Market Potential'!$D$6/1000</f>
        <v>181.27355076923075</v>
      </c>
      <c r="F9" s="161">
        <f>'Market Potential'!$E$6/1000</f>
        <v>597.38001230769237</v>
      </c>
      <c r="G9" s="161">
        <f>'Market Potential'!$F$6/1000</f>
        <v>314.5471015384615</v>
      </c>
      <c r="H9" s="161">
        <f>'Market Potential'!$G$6/1000</f>
        <v>16.345758737316796</v>
      </c>
      <c r="I9" s="188">
        <f>'Market Potential'!$H$6/1000</f>
        <v>132.73016342999998</v>
      </c>
      <c r="J9" s="168">
        <f>'Market Potential'!$B$10/1000</f>
        <v>0</v>
      </c>
      <c r="K9" s="169">
        <f>'Market Potential'!$C$11/1000</f>
        <v>262</v>
      </c>
      <c r="L9" s="170">
        <f>'Market Potential'!$D$11/1000</f>
        <v>274</v>
      </c>
      <c r="M9" s="169">
        <f>'Market Potential'!$E$11/1000</f>
        <v>292</v>
      </c>
      <c r="N9" s="169">
        <f>'Market Potential'!$F$11/1000</f>
        <v>350</v>
      </c>
      <c r="O9" s="170">
        <f>'Market Potential'!$G$11/1000</f>
        <v>218</v>
      </c>
      <c r="P9" s="169">
        <f>'Market Potential'!$H$11/1000</f>
        <v>26.332000000000001</v>
      </c>
      <c r="Q9" s="183">
        <f t="shared" si="1"/>
        <v>3688.7786052442398</v>
      </c>
    </row>
    <row r="10" spans="1:17" ht="15.75" x14ac:dyDescent="0.25">
      <c r="A10" s="126" t="s">
        <v>70</v>
      </c>
      <c r="B10" s="151"/>
      <c r="C10" s="160">
        <f t="shared" ref="C10:P10" si="3">PRODUCT(C11,C3)</f>
        <v>5321.587199999999</v>
      </c>
      <c r="D10" s="160">
        <f t="shared" si="3"/>
        <v>969.2233698461539</v>
      </c>
      <c r="E10" s="160">
        <f t="shared" si="3"/>
        <v>634.45742769230765</v>
      </c>
      <c r="F10" s="160">
        <f t="shared" si="3"/>
        <v>1612.9260332307695</v>
      </c>
      <c r="G10" s="160">
        <f t="shared" si="3"/>
        <v>849.27717415384609</v>
      </c>
      <c r="H10" s="160">
        <f t="shared" si="3"/>
        <v>84.997945434047338</v>
      </c>
      <c r="I10" s="160">
        <f t="shared" si="3"/>
        <v>862.74606229499989</v>
      </c>
      <c r="J10" s="165">
        <f t="shared" si="3"/>
        <v>0</v>
      </c>
      <c r="K10" s="166">
        <f t="shared" si="3"/>
        <v>786</v>
      </c>
      <c r="L10" s="167">
        <f t="shared" si="3"/>
        <v>945.30000000000007</v>
      </c>
      <c r="M10" s="160">
        <f t="shared" si="3"/>
        <v>1022</v>
      </c>
      <c r="N10" s="160">
        <f t="shared" si="3"/>
        <v>962.5</v>
      </c>
      <c r="O10" s="167">
        <f t="shared" si="3"/>
        <v>850.19999999999993</v>
      </c>
      <c r="P10" s="167">
        <f t="shared" si="3"/>
        <v>129.02680000000001</v>
      </c>
      <c r="Q10" s="182">
        <f t="shared" si="1"/>
        <v>15030.242012652125</v>
      </c>
    </row>
    <row r="11" spans="1:17" ht="15.75" x14ac:dyDescent="0.25">
      <c r="A11" s="124" t="s">
        <v>69</v>
      </c>
      <c r="B11" s="151">
        <f>'Market Potential'!$I$16</f>
        <v>3688.7786052442398</v>
      </c>
      <c r="C11" s="161">
        <f>'Market Potential'!$B$6/1000</f>
        <v>665.19839999999988</v>
      </c>
      <c r="D11" s="161">
        <f>'Market Potential'!$C$6/1000</f>
        <v>358.97161846153847</v>
      </c>
      <c r="E11" s="161">
        <f>'Market Potential'!$D$6/1000</f>
        <v>181.27355076923075</v>
      </c>
      <c r="F11" s="161">
        <f>'Market Potential'!$E$6/1000</f>
        <v>597.38001230769237</v>
      </c>
      <c r="G11" s="161">
        <f>'Market Potential'!$F$6/1000</f>
        <v>314.5471015384615</v>
      </c>
      <c r="H11" s="161">
        <f>'Market Potential'!$G$6/1000</f>
        <v>16.345758737316796</v>
      </c>
      <c r="I11" s="188">
        <f>'Market Potential'!$H$6/1000</f>
        <v>132.73016342999998</v>
      </c>
      <c r="J11" s="168">
        <f>'Market Potential'!$B$10/1000</f>
        <v>0</v>
      </c>
      <c r="K11" s="169">
        <f>'Market Potential'!$C$11/1000</f>
        <v>262</v>
      </c>
      <c r="L11" s="170">
        <f>'Market Potential'!$D$11/1000</f>
        <v>274</v>
      </c>
      <c r="M11" s="169">
        <f>'Market Potential'!$E$11/1000</f>
        <v>292</v>
      </c>
      <c r="N11" s="169">
        <f>'Market Potential'!$F$11/1000</f>
        <v>350</v>
      </c>
      <c r="O11" s="170">
        <f>'Market Potential'!$G$11/1000</f>
        <v>218</v>
      </c>
      <c r="P11" s="169">
        <f>'Market Potential'!$H$11/1000</f>
        <v>26.332000000000001</v>
      </c>
      <c r="Q11" s="183">
        <f t="shared" si="1"/>
        <v>3688.7786052442398</v>
      </c>
    </row>
    <row r="12" spans="1:17" ht="15.75" x14ac:dyDescent="0.25">
      <c r="A12" s="126" t="s">
        <v>71</v>
      </c>
      <c r="B12" s="151"/>
      <c r="C12" s="160">
        <f t="shared" ref="C12:P12" si="4">PRODUCT(C13,C3)</f>
        <v>5321.587199999999</v>
      </c>
      <c r="D12" s="160">
        <f t="shared" si="4"/>
        <v>969.2233698461539</v>
      </c>
      <c r="E12" s="160">
        <f t="shared" si="4"/>
        <v>634.45742769230765</v>
      </c>
      <c r="F12" s="160">
        <f t="shared" si="4"/>
        <v>1612.9260332307695</v>
      </c>
      <c r="G12" s="160">
        <f t="shared" si="4"/>
        <v>849.27717415384609</v>
      </c>
      <c r="H12" s="160">
        <f t="shared" si="4"/>
        <v>84.997945434047338</v>
      </c>
      <c r="I12" s="160">
        <f t="shared" si="4"/>
        <v>862.74606229499989</v>
      </c>
      <c r="J12" s="165">
        <f t="shared" si="4"/>
        <v>0</v>
      </c>
      <c r="K12" s="166">
        <f t="shared" si="4"/>
        <v>786</v>
      </c>
      <c r="L12" s="167">
        <f t="shared" si="4"/>
        <v>945.30000000000007</v>
      </c>
      <c r="M12" s="160">
        <f t="shared" si="4"/>
        <v>1022</v>
      </c>
      <c r="N12" s="160">
        <f t="shared" si="4"/>
        <v>962.5</v>
      </c>
      <c r="O12" s="167">
        <f t="shared" si="4"/>
        <v>850.19999999999993</v>
      </c>
      <c r="P12" s="167">
        <f t="shared" si="4"/>
        <v>129.02680000000001</v>
      </c>
      <c r="Q12" s="182">
        <f t="shared" si="1"/>
        <v>15030.242012652125</v>
      </c>
    </row>
    <row r="13" spans="1:17" ht="15.75" x14ac:dyDescent="0.25">
      <c r="A13" s="124" t="s">
        <v>69</v>
      </c>
      <c r="B13" s="151">
        <f>'Market Potential'!$I$16</f>
        <v>3688.7786052442398</v>
      </c>
      <c r="C13" s="161">
        <f>'Market Potential'!$B$6/1000</f>
        <v>665.19839999999988</v>
      </c>
      <c r="D13" s="161">
        <f>'Market Potential'!$C$6/1000</f>
        <v>358.97161846153847</v>
      </c>
      <c r="E13" s="161">
        <f>'Market Potential'!$D$6/1000</f>
        <v>181.27355076923075</v>
      </c>
      <c r="F13" s="161">
        <f>'Market Potential'!$E$6/1000</f>
        <v>597.38001230769237</v>
      </c>
      <c r="G13" s="161">
        <f>'Market Potential'!$F$6/1000</f>
        <v>314.5471015384615</v>
      </c>
      <c r="H13" s="161">
        <f>'Market Potential'!$G$6/1000</f>
        <v>16.345758737316796</v>
      </c>
      <c r="I13" s="188">
        <f>'Market Potential'!$H$6/1000</f>
        <v>132.73016342999998</v>
      </c>
      <c r="J13" s="168">
        <f>'Market Potential'!$B$10/1000</f>
        <v>0</v>
      </c>
      <c r="K13" s="169">
        <f>'Market Potential'!$C$11/1000</f>
        <v>262</v>
      </c>
      <c r="L13" s="170">
        <f>'Market Potential'!$D$11/1000</f>
        <v>274</v>
      </c>
      <c r="M13" s="169">
        <f>'Market Potential'!$E$11/1000</f>
        <v>292</v>
      </c>
      <c r="N13" s="169">
        <f>'Market Potential'!$F$11/1000</f>
        <v>350</v>
      </c>
      <c r="O13" s="170">
        <f>'Market Potential'!$G$11/1000</f>
        <v>218</v>
      </c>
      <c r="P13" s="169">
        <f>'Market Potential'!$H$11/1000</f>
        <v>26.332000000000001</v>
      </c>
      <c r="Q13" s="183">
        <f t="shared" si="1"/>
        <v>3688.7786052442398</v>
      </c>
    </row>
    <row r="14" spans="1:17" ht="15.75" x14ac:dyDescent="0.25">
      <c r="A14" s="126" t="s">
        <v>72</v>
      </c>
      <c r="B14" s="151"/>
      <c r="C14" s="160">
        <f t="shared" ref="C14:P14" si="5">PRODUCT(C15,C3)</f>
        <v>5321.587199999999</v>
      </c>
      <c r="D14" s="160">
        <f t="shared" si="5"/>
        <v>969.2233698461539</v>
      </c>
      <c r="E14" s="160">
        <f t="shared" si="5"/>
        <v>634.45742769230765</v>
      </c>
      <c r="F14" s="160">
        <f t="shared" si="5"/>
        <v>1612.9260332307695</v>
      </c>
      <c r="G14" s="160">
        <f t="shared" si="5"/>
        <v>849.27717415384609</v>
      </c>
      <c r="H14" s="160">
        <f t="shared" si="5"/>
        <v>84.997945434047338</v>
      </c>
      <c r="I14" s="160">
        <f t="shared" si="5"/>
        <v>862.74606229499989</v>
      </c>
      <c r="J14" s="165">
        <f t="shared" si="5"/>
        <v>0</v>
      </c>
      <c r="K14" s="166">
        <f t="shared" si="5"/>
        <v>786</v>
      </c>
      <c r="L14" s="167">
        <f t="shared" si="5"/>
        <v>945.30000000000007</v>
      </c>
      <c r="M14" s="160">
        <f t="shared" si="5"/>
        <v>1022</v>
      </c>
      <c r="N14" s="160">
        <f t="shared" si="5"/>
        <v>962.5</v>
      </c>
      <c r="O14" s="167">
        <f t="shared" si="5"/>
        <v>850.19999999999993</v>
      </c>
      <c r="P14" s="167">
        <f t="shared" si="5"/>
        <v>129.02680000000001</v>
      </c>
      <c r="Q14" s="182">
        <f t="shared" si="1"/>
        <v>15030.242012652125</v>
      </c>
    </row>
    <row r="15" spans="1:17" ht="15.75" x14ac:dyDescent="0.25">
      <c r="A15" s="124" t="s">
        <v>69</v>
      </c>
      <c r="B15" s="151">
        <f>'Market Potential'!$I$16</f>
        <v>3688.7786052442398</v>
      </c>
      <c r="C15" s="161">
        <f>'Market Potential'!$B$6/1000</f>
        <v>665.19839999999988</v>
      </c>
      <c r="D15" s="161">
        <f>'Market Potential'!$C$6/1000</f>
        <v>358.97161846153847</v>
      </c>
      <c r="E15" s="161">
        <f>'Market Potential'!$D$6/1000</f>
        <v>181.27355076923075</v>
      </c>
      <c r="F15" s="161">
        <f>'Market Potential'!$E$6/1000</f>
        <v>597.38001230769237</v>
      </c>
      <c r="G15" s="161">
        <f>'Market Potential'!$F$6/1000</f>
        <v>314.5471015384615</v>
      </c>
      <c r="H15" s="161">
        <f>'Market Potential'!$G$6/1000</f>
        <v>16.345758737316796</v>
      </c>
      <c r="I15" s="188">
        <f>'Market Potential'!$H$6/1000</f>
        <v>132.73016342999998</v>
      </c>
      <c r="J15" s="168">
        <f>'Market Potential'!$B$10/1000</f>
        <v>0</v>
      </c>
      <c r="K15" s="169">
        <f>'Market Potential'!$C$11/1000</f>
        <v>262</v>
      </c>
      <c r="L15" s="170">
        <f>'Market Potential'!$D$11/1000</f>
        <v>274</v>
      </c>
      <c r="M15" s="169">
        <f>'Market Potential'!$E$11/1000</f>
        <v>292</v>
      </c>
      <c r="N15" s="169">
        <f>'Market Potential'!$F$11/1000</f>
        <v>350</v>
      </c>
      <c r="O15" s="170">
        <f>'Market Potential'!$G$11/1000</f>
        <v>218</v>
      </c>
      <c r="P15" s="169">
        <f>'Market Potential'!$H$11/1000</f>
        <v>26.332000000000001</v>
      </c>
      <c r="Q15" s="183">
        <f t="shared" si="1"/>
        <v>3688.7786052442398</v>
      </c>
    </row>
    <row r="16" spans="1:17" ht="15.75" x14ac:dyDescent="0.25">
      <c r="A16" s="126" t="s">
        <v>73</v>
      </c>
      <c r="B16" s="151"/>
      <c r="C16" s="160">
        <f t="shared" ref="C16:P16" si="6">PRODUCT(C17,C3)</f>
        <v>5321.587199999999</v>
      </c>
      <c r="D16" s="160">
        <f t="shared" si="6"/>
        <v>969.2233698461539</v>
      </c>
      <c r="E16" s="160">
        <f t="shared" si="6"/>
        <v>634.45742769230765</v>
      </c>
      <c r="F16" s="160">
        <f t="shared" si="6"/>
        <v>1612.9260332307695</v>
      </c>
      <c r="G16" s="160">
        <f t="shared" si="6"/>
        <v>849.27717415384609</v>
      </c>
      <c r="H16" s="160">
        <f t="shared" si="6"/>
        <v>84.997945434047338</v>
      </c>
      <c r="I16" s="160">
        <f t="shared" si="6"/>
        <v>862.74606229499989</v>
      </c>
      <c r="J16" s="165">
        <f t="shared" si="6"/>
        <v>0</v>
      </c>
      <c r="K16" s="166">
        <f t="shared" si="6"/>
        <v>786</v>
      </c>
      <c r="L16" s="167">
        <f t="shared" si="6"/>
        <v>945.30000000000007</v>
      </c>
      <c r="M16" s="160">
        <f t="shared" si="6"/>
        <v>1022</v>
      </c>
      <c r="N16" s="160">
        <f t="shared" si="6"/>
        <v>962.5</v>
      </c>
      <c r="O16" s="167">
        <f t="shared" si="6"/>
        <v>850.19999999999993</v>
      </c>
      <c r="P16" s="167">
        <f t="shared" si="6"/>
        <v>129.02680000000001</v>
      </c>
      <c r="Q16" s="182">
        <f t="shared" si="1"/>
        <v>15030.242012652125</v>
      </c>
    </row>
    <row r="17" spans="1:17" ht="15.75" x14ac:dyDescent="0.25">
      <c r="A17" s="124" t="s">
        <v>69</v>
      </c>
      <c r="B17" s="151">
        <f>'Market Potential'!$I$16</f>
        <v>3688.7786052442398</v>
      </c>
      <c r="C17" s="161">
        <f>'Market Potential'!$B$6/1000</f>
        <v>665.19839999999988</v>
      </c>
      <c r="D17" s="161">
        <f>'Market Potential'!$C$6/1000</f>
        <v>358.97161846153847</v>
      </c>
      <c r="E17" s="161">
        <f>'Market Potential'!$D$6/1000</f>
        <v>181.27355076923075</v>
      </c>
      <c r="F17" s="161">
        <f>'Market Potential'!$E$6/1000</f>
        <v>597.38001230769237</v>
      </c>
      <c r="G17" s="161">
        <f>'Market Potential'!$F$6/1000</f>
        <v>314.5471015384615</v>
      </c>
      <c r="H17" s="161">
        <f>'Market Potential'!$G$6/1000</f>
        <v>16.345758737316796</v>
      </c>
      <c r="I17" s="188">
        <f>'Market Potential'!$H$6/1000</f>
        <v>132.73016342999998</v>
      </c>
      <c r="J17" s="168">
        <f>'Market Potential'!$B$10/1000</f>
        <v>0</v>
      </c>
      <c r="K17" s="169">
        <f>'Market Potential'!$C$11/1000</f>
        <v>262</v>
      </c>
      <c r="L17" s="170">
        <f>'Market Potential'!$D$11/1000</f>
        <v>274</v>
      </c>
      <c r="M17" s="169">
        <f>'Market Potential'!$E$11/1000</f>
        <v>292</v>
      </c>
      <c r="N17" s="169">
        <f>'Market Potential'!$F$11/1000</f>
        <v>350</v>
      </c>
      <c r="O17" s="170">
        <f>'Market Potential'!$G$11/1000</f>
        <v>218</v>
      </c>
      <c r="P17" s="169">
        <f>'Market Potential'!$H$11/1000</f>
        <v>26.332000000000001</v>
      </c>
      <c r="Q17" s="183">
        <f t="shared" si="1"/>
        <v>3688.7786052442398</v>
      </c>
    </row>
    <row r="18" spans="1:17" ht="15.75" x14ac:dyDescent="0.25">
      <c r="A18" s="126" t="s">
        <v>74</v>
      </c>
      <c r="B18" s="151"/>
      <c r="C18" s="160">
        <f t="shared" ref="C18:P18" si="7">PRODUCT(C19,C3)</f>
        <v>5321.587199999999</v>
      </c>
      <c r="D18" s="160">
        <f t="shared" si="7"/>
        <v>969.2233698461539</v>
      </c>
      <c r="E18" s="160">
        <f t="shared" si="7"/>
        <v>634.45742769230765</v>
      </c>
      <c r="F18" s="160">
        <f t="shared" si="7"/>
        <v>1612.9260332307695</v>
      </c>
      <c r="G18" s="160">
        <f t="shared" si="7"/>
        <v>849.27717415384609</v>
      </c>
      <c r="H18" s="160">
        <f t="shared" si="7"/>
        <v>84.997945434047338</v>
      </c>
      <c r="I18" s="160">
        <f t="shared" si="7"/>
        <v>862.74606229499989</v>
      </c>
      <c r="J18" s="165">
        <f t="shared" si="7"/>
        <v>0</v>
      </c>
      <c r="K18" s="166">
        <f t="shared" si="7"/>
        <v>786</v>
      </c>
      <c r="L18" s="167">
        <f t="shared" si="7"/>
        <v>945.30000000000007</v>
      </c>
      <c r="M18" s="160">
        <f t="shared" si="7"/>
        <v>1022</v>
      </c>
      <c r="N18" s="160">
        <f t="shared" si="7"/>
        <v>962.5</v>
      </c>
      <c r="O18" s="167">
        <f t="shared" si="7"/>
        <v>850.19999999999993</v>
      </c>
      <c r="P18" s="167">
        <f t="shared" si="7"/>
        <v>129.02680000000001</v>
      </c>
      <c r="Q18" s="182">
        <f t="shared" si="1"/>
        <v>15030.242012652125</v>
      </c>
    </row>
    <row r="19" spans="1:17" ht="15.75" x14ac:dyDescent="0.25">
      <c r="A19" s="124" t="s">
        <v>69</v>
      </c>
      <c r="B19" s="151">
        <f>'Market Potential'!$I$16</f>
        <v>3688.7786052442398</v>
      </c>
      <c r="C19" s="161">
        <f>'Market Potential'!$B$6/1000</f>
        <v>665.19839999999988</v>
      </c>
      <c r="D19" s="161">
        <f>'Market Potential'!$C$6/1000</f>
        <v>358.97161846153847</v>
      </c>
      <c r="E19" s="161">
        <f>'Market Potential'!$D$6/1000</f>
        <v>181.27355076923075</v>
      </c>
      <c r="F19" s="161">
        <f>'Market Potential'!$E$6/1000</f>
        <v>597.38001230769237</v>
      </c>
      <c r="G19" s="161">
        <f>'Market Potential'!$F$6/1000</f>
        <v>314.5471015384615</v>
      </c>
      <c r="H19" s="161">
        <f>'Market Potential'!$G$6/1000</f>
        <v>16.345758737316796</v>
      </c>
      <c r="I19" s="188">
        <f>'Market Potential'!$H$6/1000</f>
        <v>132.73016342999998</v>
      </c>
      <c r="J19" s="168">
        <f>'Market Potential'!$B$10/1000</f>
        <v>0</v>
      </c>
      <c r="K19" s="169">
        <f>'Market Potential'!$C$11/1000</f>
        <v>262</v>
      </c>
      <c r="L19" s="170">
        <f>'Market Potential'!$D$11/1000</f>
        <v>274</v>
      </c>
      <c r="M19" s="169">
        <f>'Market Potential'!$E$11/1000</f>
        <v>292</v>
      </c>
      <c r="N19" s="169">
        <f>'Market Potential'!$F$11/1000</f>
        <v>350</v>
      </c>
      <c r="O19" s="170">
        <f>'Market Potential'!$G$11/1000</f>
        <v>218</v>
      </c>
      <c r="P19" s="169">
        <f>'Market Potential'!$H$11/1000</f>
        <v>26.332000000000001</v>
      </c>
      <c r="Q19" s="183">
        <f t="shared" si="1"/>
        <v>3688.7786052442398</v>
      </c>
    </row>
    <row r="20" spans="1:17" ht="15.75" x14ac:dyDescent="0.25">
      <c r="A20" s="126" t="s">
        <v>75</v>
      </c>
      <c r="B20" s="151"/>
      <c r="C20" s="160">
        <f t="shared" ref="C20:P20" si="8">PRODUCT(C21,C3)</f>
        <v>5321.587199999999</v>
      </c>
      <c r="D20" s="160">
        <f t="shared" si="8"/>
        <v>969.2233698461539</v>
      </c>
      <c r="E20" s="160">
        <f t="shared" si="8"/>
        <v>634.45742769230765</v>
      </c>
      <c r="F20" s="160">
        <f t="shared" si="8"/>
        <v>1612.9260332307695</v>
      </c>
      <c r="G20" s="160">
        <f t="shared" si="8"/>
        <v>849.27717415384609</v>
      </c>
      <c r="H20" s="160">
        <f t="shared" si="8"/>
        <v>84.997945434047338</v>
      </c>
      <c r="I20" s="160">
        <f t="shared" si="8"/>
        <v>862.74606229499989</v>
      </c>
      <c r="J20" s="165">
        <f t="shared" si="8"/>
        <v>0</v>
      </c>
      <c r="K20" s="166">
        <f t="shared" si="8"/>
        <v>786</v>
      </c>
      <c r="L20" s="167">
        <f t="shared" si="8"/>
        <v>945.30000000000007</v>
      </c>
      <c r="M20" s="160">
        <f t="shared" si="8"/>
        <v>1022</v>
      </c>
      <c r="N20" s="160">
        <f t="shared" si="8"/>
        <v>962.5</v>
      </c>
      <c r="O20" s="167">
        <f t="shared" si="8"/>
        <v>850.19999999999993</v>
      </c>
      <c r="P20" s="167">
        <f t="shared" si="8"/>
        <v>129.02680000000001</v>
      </c>
      <c r="Q20" s="182">
        <f t="shared" si="1"/>
        <v>15030.242012652125</v>
      </c>
    </row>
    <row r="21" spans="1:17" ht="15.75" x14ac:dyDescent="0.25">
      <c r="A21" s="124" t="s">
        <v>69</v>
      </c>
      <c r="B21" s="151">
        <f>'Market Potential'!$I$16</f>
        <v>3688.7786052442398</v>
      </c>
      <c r="C21" s="161">
        <f>'Market Potential'!$B$6/1000</f>
        <v>665.19839999999988</v>
      </c>
      <c r="D21" s="161">
        <f>'Market Potential'!$C$6/1000</f>
        <v>358.97161846153847</v>
      </c>
      <c r="E21" s="161">
        <f>'Market Potential'!$D$6/1000</f>
        <v>181.27355076923075</v>
      </c>
      <c r="F21" s="161">
        <f>'Market Potential'!$E$6/1000</f>
        <v>597.38001230769237</v>
      </c>
      <c r="G21" s="161">
        <f>'Market Potential'!$F$6/1000</f>
        <v>314.5471015384615</v>
      </c>
      <c r="H21" s="161">
        <f>'Market Potential'!$G$6/1000</f>
        <v>16.345758737316796</v>
      </c>
      <c r="I21" s="188">
        <f>'Market Potential'!$H$6/1000</f>
        <v>132.73016342999998</v>
      </c>
      <c r="J21" s="168">
        <f>'Market Potential'!$B$10/1000</f>
        <v>0</v>
      </c>
      <c r="K21" s="169">
        <f>'Market Potential'!$C$11/1000</f>
        <v>262</v>
      </c>
      <c r="L21" s="170">
        <f>'Market Potential'!$D$11/1000</f>
        <v>274</v>
      </c>
      <c r="M21" s="169">
        <f>'Market Potential'!$E$11/1000</f>
        <v>292</v>
      </c>
      <c r="N21" s="169">
        <f>'Market Potential'!$F$11/1000</f>
        <v>350</v>
      </c>
      <c r="O21" s="170">
        <f>'Market Potential'!$G$11/1000</f>
        <v>218</v>
      </c>
      <c r="P21" s="169">
        <f>'Market Potential'!$H$11/1000</f>
        <v>26.332000000000001</v>
      </c>
      <c r="Q21" s="183">
        <f t="shared" si="1"/>
        <v>3688.7786052442398</v>
      </c>
    </row>
    <row r="22" spans="1:17" ht="15.75" x14ac:dyDescent="0.25">
      <c r="A22" s="126" t="s">
        <v>76</v>
      </c>
      <c r="B22" s="151"/>
      <c r="C22" s="160">
        <f t="shared" ref="C22:P22" si="9">PRODUCT(C23,C3)</f>
        <v>5321.587199999999</v>
      </c>
      <c r="D22" s="160">
        <f t="shared" si="9"/>
        <v>969.2233698461539</v>
      </c>
      <c r="E22" s="160">
        <f t="shared" si="9"/>
        <v>634.45742769230765</v>
      </c>
      <c r="F22" s="160">
        <f t="shared" si="9"/>
        <v>1612.9260332307695</v>
      </c>
      <c r="G22" s="160">
        <f t="shared" si="9"/>
        <v>849.27717415384609</v>
      </c>
      <c r="H22" s="160">
        <f t="shared" si="9"/>
        <v>84.997945434047338</v>
      </c>
      <c r="I22" s="160">
        <f t="shared" si="9"/>
        <v>862.74606229499989</v>
      </c>
      <c r="J22" s="165">
        <f t="shared" si="9"/>
        <v>0</v>
      </c>
      <c r="K22" s="166">
        <f t="shared" si="9"/>
        <v>786</v>
      </c>
      <c r="L22" s="167">
        <f t="shared" si="9"/>
        <v>945.30000000000007</v>
      </c>
      <c r="M22" s="160">
        <f t="shared" si="9"/>
        <v>1022</v>
      </c>
      <c r="N22" s="160">
        <f t="shared" si="9"/>
        <v>962.5</v>
      </c>
      <c r="O22" s="167">
        <f t="shared" si="9"/>
        <v>850.19999999999993</v>
      </c>
      <c r="P22" s="167">
        <f t="shared" si="9"/>
        <v>129.02680000000001</v>
      </c>
      <c r="Q22" s="182">
        <f t="shared" si="1"/>
        <v>15030.242012652125</v>
      </c>
    </row>
    <row r="23" spans="1:17" ht="15.75" x14ac:dyDescent="0.25">
      <c r="A23" s="124" t="s">
        <v>69</v>
      </c>
      <c r="B23" s="151">
        <f>'Market Potential'!$I$16</f>
        <v>3688.7786052442398</v>
      </c>
      <c r="C23" s="161">
        <f>'Market Potential'!$B$6/1000</f>
        <v>665.19839999999988</v>
      </c>
      <c r="D23" s="161">
        <f>'Market Potential'!$C$6/1000</f>
        <v>358.97161846153847</v>
      </c>
      <c r="E23" s="161">
        <f>'Market Potential'!$D$6/1000</f>
        <v>181.27355076923075</v>
      </c>
      <c r="F23" s="161">
        <f>'Market Potential'!$E$6/1000</f>
        <v>597.38001230769237</v>
      </c>
      <c r="G23" s="161">
        <f>'Market Potential'!$F$6/1000</f>
        <v>314.5471015384615</v>
      </c>
      <c r="H23" s="161">
        <f>'Market Potential'!$G$6/1000</f>
        <v>16.345758737316796</v>
      </c>
      <c r="I23" s="188">
        <f>'Market Potential'!$H$6/1000</f>
        <v>132.73016342999998</v>
      </c>
      <c r="J23" s="168">
        <f>'Market Potential'!$B$10/1000</f>
        <v>0</v>
      </c>
      <c r="K23" s="169">
        <f>'Market Potential'!$C$11/1000</f>
        <v>262</v>
      </c>
      <c r="L23" s="170">
        <f>'Market Potential'!$D$11/1000</f>
        <v>274</v>
      </c>
      <c r="M23" s="169">
        <f>'Market Potential'!$E$11/1000</f>
        <v>292</v>
      </c>
      <c r="N23" s="169">
        <f>'Market Potential'!$F$11/1000</f>
        <v>350</v>
      </c>
      <c r="O23" s="170">
        <f>'Market Potential'!$G$11/1000</f>
        <v>218</v>
      </c>
      <c r="P23" s="169">
        <f>'Market Potential'!$H$11/1000</f>
        <v>26.332000000000001</v>
      </c>
      <c r="Q23" s="183">
        <f t="shared" si="1"/>
        <v>3688.7786052442398</v>
      </c>
    </row>
    <row r="24" spans="1:17" ht="15.75" x14ac:dyDescent="0.25">
      <c r="A24" s="126" t="s">
        <v>77</v>
      </c>
      <c r="B24" s="151"/>
      <c r="C24" s="160">
        <f t="shared" ref="C24:P24" si="10">PRODUCT(C25,C3)</f>
        <v>5321.587199999999</v>
      </c>
      <c r="D24" s="160">
        <f t="shared" si="10"/>
        <v>969.2233698461539</v>
      </c>
      <c r="E24" s="160">
        <f t="shared" si="10"/>
        <v>634.45742769230765</v>
      </c>
      <c r="F24" s="160">
        <f t="shared" si="10"/>
        <v>1612.9260332307695</v>
      </c>
      <c r="G24" s="160">
        <f t="shared" si="10"/>
        <v>849.27717415384609</v>
      </c>
      <c r="H24" s="160">
        <f t="shared" si="10"/>
        <v>84.997945434047338</v>
      </c>
      <c r="I24" s="160">
        <f t="shared" si="10"/>
        <v>862.74606229499989</v>
      </c>
      <c r="J24" s="165">
        <f t="shared" si="10"/>
        <v>0</v>
      </c>
      <c r="K24" s="166">
        <f t="shared" si="10"/>
        <v>786</v>
      </c>
      <c r="L24" s="167">
        <f t="shared" si="10"/>
        <v>945.30000000000007</v>
      </c>
      <c r="M24" s="160">
        <f t="shared" si="10"/>
        <v>1022</v>
      </c>
      <c r="N24" s="160">
        <f t="shared" si="10"/>
        <v>962.5</v>
      </c>
      <c r="O24" s="167">
        <f t="shared" si="10"/>
        <v>850.19999999999993</v>
      </c>
      <c r="P24" s="167">
        <f t="shared" si="10"/>
        <v>129.02680000000001</v>
      </c>
      <c r="Q24" s="182">
        <f t="shared" si="1"/>
        <v>15030.242012652125</v>
      </c>
    </row>
    <row r="25" spans="1:17" ht="15.75" x14ac:dyDescent="0.25">
      <c r="A25" s="124" t="s">
        <v>69</v>
      </c>
      <c r="B25" s="151">
        <f>'Market Potential'!$I$16</f>
        <v>3688.7786052442398</v>
      </c>
      <c r="C25" s="161">
        <f>'Market Potential'!$B$6/1000</f>
        <v>665.19839999999988</v>
      </c>
      <c r="D25" s="161">
        <f>'Market Potential'!$C$6/1000</f>
        <v>358.97161846153847</v>
      </c>
      <c r="E25" s="161">
        <f>'Market Potential'!$D$6/1000</f>
        <v>181.27355076923075</v>
      </c>
      <c r="F25" s="161">
        <f>'Market Potential'!$E$6/1000</f>
        <v>597.38001230769237</v>
      </c>
      <c r="G25" s="161">
        <f>'Market Potential'!$F$6/1000</f>
        <v>314.5471015384615</v>
      </c>
      <c r="H25" s="161">
        <f>'Market Potential'!$G$6/1000</f>
        <v>16.345758737316796</v>
      </c>
      <c r="I25" s="188">
        <f>'Market Potential'!$H$6/1000</f>
        <v>132.73016342999998</v>
      </c>
      <c r="J25" s="168">
        <f>'Market Potential'!$B$10/1000</f>
        <v>0</v>
      </c>
      <c r="K25" s="169">
        <f>'Market Potential'!$C$11/1000</f>
        <v>262</v>
      </c>
      <c r="L25" s="170">
        <f>'Market Potential'!$D$11/1000</f>
        <v>274</v>
      </c>
      <c r="M25" s="169">
        <f>'Market Potential'!$E$11/1000</f>
        <v>292</v>
      </c>
      <c r="N25" s="169">
        <f>'Market Potential'!$F$11/1000</f>
        <v>350</v>
      </c>
      <c r="O25" s="170">
        <f>'Market Potential'!$G$11/1000</f>
        <v>218</v>
      </c>
      <c r="P25" s="169">
        <f>'Market Potential'!$H$11/1000</f>
        <v>26.332000000000001</v>
      </c>
      <c r="Q25" s="183">
        <f t="shared" si="1"/>
        <v>3688.7786052442398</v>
      </c>
    </row>
    <row r="26" spans="1:17" ht="15.75" x14ac:dyDescent="0.25">
      <c r="A26" s="126" t="s">
        <v>78</v>
      </c>
      <c r="B26" s="151"/>
      <c r="C26" s="160">
        <f t="shared" ref="C26:P26" si="11">PRODUCT(C27,C3)</f>
        <v>5321.587199999999</v>
      </c>
      <c r="D26" s="160">
        <f t="shared" si="11"/>
        <v>969.2233698461539</v>
      </c>
      <c r="E26" s="160">
        <f t="shared" si="11"/>
        <v>634.45742769230765</v>
      </c>
      <c r="F26" s="160">
        <f t="shared" si="11"/>
        <v>1612.9260332307695</v>
      </c>
      <c r="G26" s="160">
        <f t="shared" si="11"/>
        <v>849.27717415384609</v>
      </c>
      <c r="H26" s="160">
        <f t="shared" si="11"/>
        <v>84.997945434047338</v>
      </c>
      <c r="I26" s="160">
        <f t="shared" si="11"/>
        <v>862.74606229499989</v>
      </c>
      <c r="J26" s="165">
        <f t="shared" si="11"/>
        <v>0</v>
      </c>
      <c r="K26" s="166">
        <f t="shared" si="11"/>
        <v>786</v>
      </c>
      <c r="L26" s="167">
        <f t="shared" si="11"/>
        <v>945.30000000000007</v>
      </c>
      <c r="M26" s="160">
        <f t="shared" si="11"/>
        <v>1022</v>
      </c>
      <c r="N26" s="160">
        <f t="shared" si="11"/>
        <v>962.5</v>
      </c>
      <c r="O26" s="167">
        <f t="shared" si="11"/>
        <v>850.19999999999993</v>
      </c>
      <c r="P26" s="167">
        <f t="shared" si="11"/>
        <v>129.02680000000001</v>
      </c>
      <c r="Q26" s="182">
        <f t="shared" si="1"/>
        <v>15030.242012652125</v>
      </c>
    </row>
    <row r="27" spans="1:17" ht="15.75" x14ac:dyDescent="0.25">
      <c r="A27" s="124" t="s">
        <v>69</v>
      </c>
      <c r="B27" s="151">
        <f>'Market Potential'!$I$16</f>
        <v>3688.7786052442398</v>
      </c>
      <c r="C27" s="161">
        <f>'Market Potential'!$B$6/1000</f>
        <v>665.19839999999988</v>
      </c>
      <c r="D27" s="161">
        <f>'Market Potential'!$C$6/1000</f>
        <v>358.97161846153847</v>
      </c>
      <c r="E27" s="161">
        <f>'Market Potential'!$D$6/1000</f>
        <v>181.27355076923075</v>
      </c>
      <c r="F27" s="161">
        <f>'Market Potential'!$E$6/1000</f>
        <v>597.38001230769237</v>
      </c>
      <c r="G27" s="161">
        <f>'Market Potential'!$F$6/1000</f>
        <v>314.5471015384615</v>
      </c>
      <c r="H27" s="161">
        <f>'Market Potential'!$G$6/1000</f>
        <v>16.345758737316796</v>
      </c>
      <c r="I27" s="188">
        <f>'Market Potential'!$H$6/1000</f>
        <v>132.73016342999998</v>
      </c>
      <c r="J27" s="168">
        <f>'Market Potential'!$B$10/1000</f>
        <v>0</v>
      </c>
      <c r="K27" s="169">
        <f>'Market Potential'!$C$11/1000</f>
        <v>262</v>
      </c>
      <c r="L27" s="170">
        <f>'Market Potential'!$D$11/1000</f>
        <v>274</v>
      </c>
      <c r="M27" s="169">
        <f>'Market Potential'!$E$11/1000</f>
        <v>292</v>
      </c>
      <c r="N27" s="169">
        <f>'Market Potential'!$F$11/1000</f>
        <v>350</v>
      </c>
      <c r="O27" s="170">
        <f>'Market Potential'!$G$11/1000</f>
        <v>218</v>
      </c>
      <c r="P27" s="169">
        <f>'Market Potential'!$H$11/1000</f>
        <v>26.332000000000001</v>
      </c>
      <c r="Q27" s="183">
        <f t="shared" si="1"/>
        <v>3688.7786052442398</v>
      </c>
    </row>
    <row r="28" spans="1:17" ht="15.75" x14ac:dyDescent="0.25">
      <c r="A28" s="126" t="s">
        <v>79</v>
      </c>
      <c r="B28" s="151"/>
      <c r="C28" s="160">
        <f t="shared" ref="C28:P28" si="12">PRODUCT(C29,C3)</f>
        <v>5321.587199999999</v>
      </c>
      <c r="D28" s="160">
        <f t="shared" si="12"/>
        <v>969.2233698461539</v>
      </c>
      <c r="E28" s="160">
        <f t="shared" si="12"/>
        <v>634.45742769230765</v>
      </c>
      <c r="F28" s="160">
        <f t="shared" si="12"/>
        <v>1612.9260332307695</v>
      </c>
      <c r="G28" s="160">
        <f t="shared" si="12"/>
        <v>849.27717415384609</v>
      </c>
      <c r="H28" s="160">
        <f t="shared" si="12"/>
        <v>84.997945434047338</v>
      </c>
      <c r="I28" s="160">
        <f t="shared" si="12"/>
        <v>862.74606229499989</v>
      </c>
      <c r="J28" s="165">
        <f t="shared" si="12"/>
        <v>0</v>
      </c>
      <c r="K28" s="166">
        <f t="shared" si="12"/>
        <v>786</v>
      </c>
      <c r="L28" s="167">
        <f t="shared" si="12"/>
        <v>945.30000000000007</v>
      </c>
      <c r="M28" s="160">
        <f t="shared" si="12"/>
        <v>1022</v>
      </c>
      <c r="N28" s="160">
        <f t="shared" si="12"/>
        <v>962.5</v>
      </c>
      <c r="O28" s="167">
        <f t="shared" si="12"/>
        <v>850.19999999999993</v>
      </c>
      <c r="P28" s="167">
        <f t="shared" si="12"/>
        <v>129.02680000000001</v>
      </c>
      <c r="Q28" s="182">
        <f t="shared" si="1"/>
        <v>15030.242012652125</v>
      </c>
    </row>
    <row r="29" spans="1:17" ht="15.75" x14ac:dyDescent="0.25">
      <c r="A29" s="124" t="s">
        <v>69</v>
      </c>
      <c r="B29" s="151">
        <f>'Market Potential'!$I$16</f>
        <v>3688.7786052442398</v>
      </c>
      <c r="C29" s="161">
        <f>'Market Potential'!$B$6/1000</f>
        <v>665.19839999999988</v>
      </c>
      <c r="D29" s="161">
        <f>'Market Potential'!$C$6/1000</f>
        <v>358.97161846153847</v>
      </c>
      <c r="E29" s="161">
        <f>'Market Potential'!$D$6/1000</f>
        <v>181.27355076923075</v>
      </c>
      <c r="F29" s="161">
        <f>'Market Potential'!$E$6/1000</f>
        <v>597.38001230769237</v>
      </c>
      <c r="G29" s="161">
        <f>'Market Potential'!$F$6/1000</f>
        <v>314.5471015384615</v>
      </c>
      <c r="H29" s="161">
        <f>'Market Potential'!$G$6/1000</f>
        <v>16.345758737316796</v>
      </c>
      <c r="I29" s="188">
        <f>'Market Potential'!$H$6/1000</f>
        <v>132.73016342999998</v>
      </c>
      <c r="J29" s="168">
        <f>'Market Potential'!$B$10/1000</f>
        <v>0</v>
      </c>
      <c r="K29" s="169">
        <f>'Market Potential'!$C$11/1000</f>
        <v>262</v>
      </c>
      <c r="L29" s="170">
        <f>'Market Potential'!$D$11/1000</f>
        <v>274</v>
      </c>
      <c r="M29" s="169">
        <f>'Market Potential'!$E$11/1000</f>
        <v>292</v>
      </c>
      <c r="N29" s="169">
        <f>'Market Potential'!$F$11/1000</f>
        <v>350</v>
      </c>
      <c r="O29" s="170">
        <f>'Market Potential'!$G$11/1000</f>
        <v>218</v>
      </c>
      <c r="P29" s="169">
        <f>'Market Potential'!$H$11/1000</f>
        <v>26.332000000000001</v>
      </c>
      <c r="Q29" s="183">
        <f t="shared" si="1"/>
        <v>3688.7786052442398</v>
      </c>
    </row>
    <row r="30" spans="1:17" ht="15.75" x14ac:dyDescent="0.25">
      <c r="A30" s="126" t="s">
        <v>80</v>
      </c>
      <c r="B30" s="151"/>
      <c r="C30" s="160">
        <f t="shared" ref="C30:P30" si="13">PRODUCT(C31,C3)</f>
        <v>5321.587199999999</v>
      </c>
      <c r="D30" s="160">
        <f t="shared" si="13"/>
        <v>969.2233698461539</v>
      </c>
      <c r="E30" s="160">
        <f t="shared" si="13"/>
        <v>634.45742769230765</v>
      </c>
      <c r="F30" s="160">
        <f t="shared" si="13"/>
        <v>1612.9260332307695</v>
      </c>
      <c r="G30" s="160">
        <f t="shared" si="13"/>
        <v>849.27717415384609</v>
      </c>
      <c r="H30" s="160">
        <f t="shared" si="13"/>
        <v>84.997945434047338</v>
      </c>
      <c r="I30" s="160">
        <f t="shared" si="13"/>
        <v>862.74606229499989</v>
      </c>
      <c r="J30" s="165">
        <f t="shared" si="13"/>
        <v>0</v>
      </c>
      <c r="K30" s="166">
        <f t="shared" si="13"/>
        <v>786</v>
      </c>
      <c r="L30" s="167">
        <f t="shared" si="13"/>
        <v>945.30000000000007</v>
      </c>
      <c r="M30" s="160">
        <f t="shared" si="13"/>
        <v>1022</v>
      </c>
      <c r="N30" s="160">
        <f t="shared" si="13"/>
        <v>962.5</v>
      </c>
      <c r="O30" s="167">
        <f t="shared" si="13"/>
        <v>850.19999999999993</v>
      </c>
      <c r="P30" s="167">
        <f t="shared" si="13"/>
        <v>129.02680000000001</v>
      </c>
      <c r="Q30" s="182">
        <f t="shared" si="1"/>
        <v>15030.242012652125</v>
      </c>
    </row>
    <row r="31" spans="1:17" ht="15.75" x14ac:dyDescent="0.25">
      <c r="A31" s="152" t="s">
        <v>69</v>
      </c>
      <c r="B31" s="153">
        <f>'Market Potential'!$I$16</f>
        <v>3688.7786052442398</v>
      </c>
      <c r="C31" s="162">
        <f>'Market Potential'!$B$6/1000</f>
        <v>665.19839999999988</v>
      </c>
      <c r="D31" s="162">
        <f>'Market Potential'!$C$6/1000</f>
        <v>358.97161846153847</v>
      </c>
      <c r="E31" s="162">
        <f>'Market Potential'!$D$6/1000</f>
        <v>181.27355076923075</v>
      </c>
      <c r="F31" s="162">
        <f>'Market Potential'!$E$6/1000</f>
        <v>597.38001230769237</v>
      </c>
      <c r="G31" s="162">
        <f>'Market Potential'!$F$6/1000</f>
        <v>314.5471015384615</v>
      </c>
      <c r="H31" s="162">
        <f>'Market Potential'!$G$6/1000</f>
        <v>16.345758737316796</v>
      </c>
      <c r="I31" s="188">
        <f>'Market Potential'!$H$6/1000</f>
        <v>132.73016342999998</v>
      </c>
      <c r="J31" s="171">
        <f>'Market Potential'!$B$10/1000</f>
        <v>0</v>
      </c>
      <c r="K31" s="172">
        <f>'Market Potential'!$C$11/1000</f>
        <v>262</v>
      </c>
      <c r="L31" s="173">
        <f>'Market Potential'!$D$11/1000</f>
        <v>274</v>
      </c>
      <c r="M31" s="172">
        <f>'Market Potential'!$E$11/1000</f>
        <v>292</v>
      </c>
      <c r="N31" s="172">
        <f>'Market Potential'!$F$11/1000</f>
        <v>350</v>
      </c>
      <c r="O31" s="173">
        <f>'Market Potential'!$G$11/1000</f>
        <v>218</v>
      </c>
      <c r="P31" s="172">
        <f>'Market Potential'!$H$11/1000</f>
        <v>26.332000000000001</v>
      </c>
      <c r="Q31" s="184">
        <f t="shared" si="1"/>
        <v>3688.7786052442398</v>
      </c>
    </row>
    <row r="32" spans="1:17" ht="15.75" x14ac:dyDescent="0.25">
      <c r="A32" s="125" t="s">
        <v>81</v>
      </c>
      <c r="B32" s="185">
        <f>SUM(B8:B31)</f>
        <v>44265.343262930874</v>
      </c>
      <c r="C32" s="161">
        <f>C9+C11+C13+C15+C17+C19+C21+C23+C25+C27+C29+C31</f>
        <v>7982.3807999999999</v>
      </c>
      <c r="D32" s="161">
        <f t="shared" ref="D32:Q32" si="14">D9+D11+D13+D15+D17+D19+D21+D23+D25+D27+D29+D31</f>
        <v>4307.6594215384621</v>
      </c>
      <c r="E32" s="161">
        <f t="shared" si="14"/>
        <v>2175.2826092307691</v>
      </c>
      <c r="F32" s="161">
        <f t="shared" si="14"/>
        <v>7168.5601476923102</v>
      </c>
      <c r="G32" s="161">
        <f>G9+G11+G13+G15+G17+G19+G21+G23+G25+G27+G29+G31</f>
        <v>3774.5652184615378</v>
      </c>
      <c r="H32" s="161">
        <f>H9+H11+H13+H15+H17+H19+H21+H23+H25+H27+H29+H31</f>
        <v>196.14910484780157</v>
      </c>
      <c r="I32" s="188">
        <f t="shared" si="14"/>
        <v>1592.7619611599996</v>
      </c>
      <c r="J32" s="168">
        <f t="shared" si="14"/>
        <v>0</v>
      </c>
      <c r="K32" s="169">
        <f t="shared" si="14"/>
        <v>3144</v>
      </c>
      <c r="L32" s="161">
        <f t="shared" si="14"/>
        <v>3288</v>
      </c>
      <c r="M32" s="161">
        <f t="shared" si="14"/>
        <v>3504</v>
      </c>
      <c r="N32" s="174">
        <f t="shared" si="14"/>
        <v>4200</v>
      </c>
      <c r="O32" s="175">
        <f t="shared" si="14"/>
        <v>2616</v>
      </c>
      <c r="P32" s="175">
        <f t="shared" si="14"/>
        <v>315.98399999999998</v>
      </c>
      <c r="Q32" s="183">
        <f t="shared" si="14"/>
        <v>44265.343262930874</v>
      </c>
    </row>
    <row r="33" spans="1:17" ht="15.75" x14ac:dyDescent="0.25">
      <c r="A33" s="132" t="s">
        <v>66</v>
      </c>
      <c r="B33" s="131"/>
      <c r="C33" s="163">
        <f>C8+C10+C12+C14+C16+C18+C20+C22+C24+C26+C28+C30</f>
        <v>63859.046399999999</v>
      </c>
      <c r="D33" s="163">
        <f t="shared" ref="D33:Q33" si="15">D8+D10+D12+D14+D16+D18+D20+D22+D24+D26+D28+D30</f>
        <v>11630.680438153846</v>
      </c>
      <c r="E33" s="163">
        <f t="shared" si="15"/>
        <v>7613.4891323076918</v>
      </c>
      <c r="F33" s="163">
        <f t="shared" si="15"/>
        <v>19355.112398769234</v>
      </c>
      <c r="G33" s="163">
        <f>G8+G10+G12+G14+G16+G18+G20+G22+G24+G26+G28+G30</f>
        <v>10191.326089846152</v>
      </c>
      <c r="H33" s="163">
        <f>H8+H10+H12+H14+H16+H18+H20+H22+H24+H26+H28+H30</f>
        <v>1019.975345208568</v>
      </c>
      <c r="I33" s="163">
        <f t="shared" si="15"/>
        <v>10352.952747540001</v>
      </c>
      <c r="J33" s="176">
        <f t="shared" si="15"/>
        <v>0</v>
      </c>
      <c r="K33" s="163">
        <f t="shared" si="15"/>
        <v>9432</v>
      </c>
      <c r="L33" s="163">
        <f t="shared" si="15"/>
        <v>11343.599999999999</v>
      </c>
      <c r="M33" s="163">
        <f t="shared" si="15"/>
        <v>12264</v>
      </c>
      <c r="N33" s="163">
        <f t="shared" si="15"/>
        <v>11550</v>
      </c>
      <c r="O33" s="177">
        <f t="shared" si="15"/>
        <v>10202.400000000001</v>
      </c>
      <c r="P33" s="163">
        <f t="shared" si="15"/>
        <v>1548.3216000000004</v>
      </c>
      <c r="Q33" s="182">
        <f t="shared" si="15"/>
        <v>180362.90415182555</v>
      </c>
    </row>
    <row r="34" spans="1:17" ht="18.75" x14ac:dyDescent="0.3">
      <c r="B34" s="155"/>
      <c r="P34" s="121" t="s">
        <v>141</v>
      </c>
      <c r="Q34" s="120">
        <f>Q33/12</f>
        <v>15030.24201265213</v>
      </c>
    </row>
    <row r="35" spans="1:17" x14ac:dyDescent="0.25">
      <c r="C35" s="190">
        <f>C30*1.08</f>
        <v>5747.314175999999</v>
      </c>
      <c r="D35" s="190">
        <f>D30*1.08</f>
        <v>1046.7612394338462</v>
      </c>
      <c r="E35" s="190">
        <f t="shared" ref="E35:P35" si="16">E30*1.08</f>
        <v>685.21402190769231</v>
      </c>
      <c r="F35" s="190">
        <f t="shared" si="16"/>
        <v>1741.9601158892312</v>
      </c>
      <c r="G35" s="190">
        <f t="shared" si="16"/>
        <v>917.21934808615379</v>
      </c>
      <c r="H35" s="190">
        <f t="shared" si="16"/>
        <v>91.79778106877113</v>
      </c>
      <c r="I35" s="190">
        <f t="shared" si="16"/>
        <v>931.76574727859997</v>
      </c>
      <c r="J35" s="190">
        <f t="shared" si="16"/>
        <v>0</v>
      </c>
      <c r="K35" s="190">
        <f t="shared" si="16"/>
        <v>848.88000000000011</v>
      </c>
      <c r="L35" s="190">
        <f t="shared" si="16"/>
        <v>1020.9240000000001</v>
      </c>
      <c r="M35" s="190">
        <f t="shared" si="16"/>
        <v>1103.76</v>
      </c>
      <c r="N35" s="190">
        <f t="shared" si="16"/>
        <v>1039.5</v>
      </c>
      <c r="O35" s="190">
        <f t="shared" si="16"/>
        <v>918.21600000000001</v>
      </c>
      <c r="P35" s="190">
        <f t="shared" si="16"/>
        <v>139.34894400000002</v>
      </c>
    </row>
    <row r="36" spans="1:17" x14ac:dyDescent="0.25">
      <c r="C36" s="190">
        <f>C35*1.05</f>
        <v>6034.6798847999989</v>
      </c>
      <c r="D36" s="190">
        <f>D35*1.05</f>
        <v>1099.0993014055387</v>
      </c>
      <c r="E36" s="190">
        <f t="shared" ref="E36:P36" si="17">E35*1.05</f>
        <v>719.47472300307697</v>
      </c>
      <c r="F36" s="190">
        <f t="shared" si="17"/>
        <v>1829.0581216836929</v>
      </c>
      <c r="G36" s="190">
        <f t="shared" si="17"/>
        <v>963.08031549046154</v>
      </c>
      <c r="H36" s="190">
        <f t="shared" si="17"/>
        <v>96.387670122209684</v>
      </c>
      <c r="I36" s="190">
        <f t="shared" si="17"/>
        <v>978.35403464253</v>
      </c>
      <c r="J36" s="190">
        <f t="shared" si="17"/>
        <v>0</v>
      </c>
      <c r="K36" s="190">
        <f t="shared" si="17"/>
        <v>891.32400000000018</v>
      </c>
      <c r="L36" s="190">
        <f t="shared" si="17"/>
        <v>1071.9702000000002</v>
      </c>
      <c r="M36" s="190">
        <f t="shared" si="17"/>
        <v>1158.9480000000001</v>
      </c>
      <c r="N36" s="190">
        <f t="shared" si="17"/>
        <v>1091.4750000000001</v>
      </c>
      <c r="O36" s="190">
        <f t="shared" si="17"/>
        <v>964.1268</v>
      </c>
      <c r="P36" s="190">
        <f t="shared" si="17"/>
        <v>146.31639120000003</v>
      </c>
    </row>
    <row r="40" spans="1:17" x14ac:dyDescent="0.25">
      <c r="I40">
        <v>6851021139</v>
      </c>
    </row>
  </sheetData>
  <mergeCells count="2">
    <mergeCell ref="C4:I4"/>
    <mergeCell ref="J4:P4"/>
  </mergeCells>
  <phoneticPr fontId="5" type="noConversion"/>
  <pageMargins left="0.7" right="0.7" top="0.75" bottom="0.75" header="0.3" footer="0.3"/>
  <pageSetup scale="75" orientation="landscape" horizontalDpi="0" verticalDpi="0" r:id="rId1"/>
  <ignoredErrors>
    <ignoredError sqref="C10:D10 C12:D12 C14:D14 C16:D16 C18:D18 H20 L16:M16 L18:M18 C20:D20 D22 D24 D26 D28 D30 J7 I10:J10 I12:J12 I14:J14 I16:J16 I18:J18 J20 J22 M20:P20 N18:P18 N16:P16 L14:P14 L12:P12 L10:P10 L22:P22 L24:P24 L26:P26 L28:P28 L30:P30 L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80" zoomScaleNormal="80" zoomScalePageLayoutView="80" workbookViewId="0">
      <selection activeCell="B9" sqref="B9"/>
    </sheetView>
  </sheetViews>
  <sheetFormatPr defaultColWidth="8.85546875" defaultRowHeight="15" x14ac:dyDescent="0.25"/>
  <cols>
    <col min="1" max="2" width="34" customWidth="1"/>
    <col min="3" max="3" width="18.85546875" bestFit="1" customWidth="1"/>
    <col min="4" max="4" width="21.140625" customWidth="1"/>
    <col min="5" max="5" width="27.7109375" customWidth="1"/>
    <col min="6" max="6" width="27.140625" customWidth="1"/>
    <col min="7" max="7" width="43" customWidth="1"/>
    <col min="8" max="8" width="36" customWidth="1"/>
    <col min="9" max="9" width="31.85546875" customWidth="1"/>
    <col min="10" max="10" width="49.140625" customWidth="1"/>
  </cols>
  <sheetData>
    <row r="1" spans="1:10" ht="45.75" customHeight="1" x14ac:dyDescent="0.25">
      <c r="A1" s="219" t="s">
        <v>4</v>
      </c>
      <c r="B1" s="219" t="s">
        <v>321</v>
      </c>
      <c r="C1" s="220" t="s">
        <v>299</v>
      </c>
      <c r="D1" s="220" t="s">
        <v>298</v>
      </c>
      <c r="E1" s="220" t="s">
        <v>297</v>
      </c>
      <c r="F1" s="220" t="s">
        <v>296</v>
      </c>
      <c r="G1" s="220" t="s">
        <v>295</v>
      </c>
      <c r="H1" s="220" t="s">
        <v>294</v>
      </c>
      <c r="I1" s="220" t="s">
        <v>293</v>
      </c>
      <c r="J1" s="221" t="s">
        <v>1</v>
      </c>
    </row>
    <row r="2" spans="1:10" x14ac:dyDescent="0.25">
      <c r="A2" s="222" t="s">
        <v>308</v>
      </c>
      <c r="B2" s="222" t="s">
        <v>324</v>
      </c>
      <c r="C2" s="223"/>
      <c r="D2" s="223"/>
      <c r="E2" s="223"/>
      <c r="F2" s="223"/>
      <c r="G2" s="223"/>
      <c r="H2" s="223"/>
      <c r="I2" s="223"/>
      <c r="J2" s="224"/>
    </row>
    <row r="3" spans="1:10" x14ac:dyDescent="0.25">
      <c r="A3" s="222" t="s">
        <v>301</v>
      </c>
      <c r="B3" s="222" t="s">
        <v>323</v>
      </c>
      <c r="C3" s="223"/>
      <c r="D3" s="223"/>
      <c r="E3" s="223"/>
      <c r="F3" s="223"/>
      <c r="G3" s="223"/>
      <c r="H3" s="223"/>
      <c r="I3" s="225"/>
      <c r="J3" s="224"/>
    </row>
    <row r="4" spans="1:10" x14ac:dyDescent="0.25">
      <c r="A4" s="222" t="s">
        <v>302</v>
      </c>
      <c r="B4" s="222" t="s">
        <v>323</v>
      </c>
      <c r="C4" s="223"/>
      <c r="D4" s="223"/>
      <c r="E4" s="223"/>
      <c r="F4" s="223"/>
      <c r="G4" s="223"/>
      <c r="H4" s="223"/>
      <c r="I4" s="225"/>
      <c r="J4" s="226"/>
    </row>
    <row r="5" spans="1:10" x14ac:dyDescent="0.25">
      <c r="A5" s="222" t="s">
        <v>303</v>
      </c>
      <c r="B5" s="222" t="s">
        <v>323</v>
      </c>
      <c r="C5" s="223"/>
      <c r="D5" s="223"/>
      <c r="E5" s="227"/>
      <c r="F5" s="223"/>
      <c r="G5" s="223"/>
      <c r="H5" s="223"/>
      <c r="I5" s="225"/>
      <c r="J5" s="224"/>
    </row>
    <row r="6" spans="1:10" ht="15.75" x14ac:dyDescent="0.25">
      <c r="A6" s="222" t="s">
        <v>304</v>
      </c>
      <c r="B6" s="222" t="s">
        <v>323</v>
      </c>
      <c r="C6" s="223"/>
      <c r="D6" s="223"/>
      <c r="E6" s="228"/>
      <c r="F6" s="229"/>
      <c r="G6" s="223"/>
      <c r="H6" s="223"/>
      <c r="I6" s="225"/>
      <c r="J6" s="224"/>
    </row>
    <row r="7" spans="1:10" ht="15.75" x14ac:dyDescent="0.25">
      <c r="A7" s="222" t="s">
        <v>306</v>
      </c>
      <c r="B7" s="222" t="s">
        <v>323</v>
      </c>
      <c r="C7" s="223"/>
      <c r="D7" s="223"/>
      <c r="E7" s="228"/>
      <c r="F7" s="229"/>
      <c r="G7" s="223"/>
      <c r="H7" s="223"/>
      <c r="I7" s="225"/>
      <c r="J7" s="224"/>
    </row>
    <row r="8" spans="1:10" x14ac:dyDescent="0.25">
      <c r="A8" s="222" t="s">
        <v>307</v>
      </c>
      <c r="B8" s="222" t="s">
        <v>323</v>
      </c>
      <c r="C8" s="223"/>
      <c r="D8" s="223"/>
      <c r="E8" s="223"/>
      <c r="F8" s="223"/>
      <c r="G8" s="223"/>
      <c r="H8" s="223"/>
      <c r="I8" s="225"/>
      <c r="J8" s="230"/>
    </row>
    <row r="9" spans="1:10" x14ac:dyDescent="0.25">
      <c r="A9" s="222" t="s">
        <v>300</v>
      </c>
      <c r="B9" s="222" t="s">
        <v>322</v>
      </c>
      <c r="C9" s="223"/>
      <c r="D9" s="223"/>
      <c r="E9" s="223"/>
      <c r="F9" s="223"/>
      <c r="G9" s="223"/>
      <c r="H9" s="223"/>
      <c r="I9" s="225"/>
      <c r="J9" s="231"/>
    </row>
    <row r="10" spans="1:10" ht="15.75" x14ac:dyDescent="0.25">
      <c r="A10" s="222" t="s">
        <v>305</v>
      </c>
      <c r="B10" s="222" t="s">
        <v>322</v>
      </c>
      <c r="C10" s="223"/>
      <c r="D10" s="223"/>
      <c r="E10" s="228"/>
      <c r="F10" s="229"/>
      <c r="G10" s="223"/>
      <c r="H10" s="223"/>
      <c r="I10" s="225"/>
      <c r="J10" s="232"/>
    </row>
    <row r="11" spans="1:10" ht="15.75" x14ac:dyDescent="0.25">
      <c r="A11" s="222" t="s">
        <v>312</v>
      </c>
      <c r="B11" s="222" t="s">
        <v>322</v>
      </c>
      <c r="C11" s="223"/>
      <c r="D11" s="223"/>
      <c r="E11" s="228"/>
      <c r="F11" s="229"/>
      <c r="G11" s="223"/>
      <c r="H11" s="223"/>
      <c r="I11" s="225"/>
      <c r="J11" s="226"/>
    </row>
    <row r="12" spans="1:10" ht="15.75" x14ac:dyDescent="0.25">
      <c r="A12" s="233" t="s">
        <v>313</v>
      </c>
      <c r="B12" s="222" t="s">
        <v>322</v>
      </c>
      <c r="C12" s="219"/>
      <c r="D12" s="219"/>
      <c r="E12" s="234"/>
      <c r="F12" s="235"/>
      <c r="G12" s="219"/>
      <c r="H12" s="219"/>
      <c r="I12" s="236"/>
      <c r="J12" s="224"/>
    </row>
    <row r="13" spans="1:10" ht="15.75" x14ac:dyDescent="0.25">
      <c r="A13" s="222" t="s">
        <v>314</v>
      </c>
      <c r="B13" s="222" t="s">
        <v>322</v>
      </c>
      <c r="C13" s="224"/>
      <c r="D13" s="219"/>
      <c r="E13" s="234"/>
      <c r="F13" s="235"/>
      <c r="G13" s="219"/>
      <c r="H13" s="219"/>
      <c r="I13" s="236"/>
      <c r="J13" s="224"/>
    </row>
    <row r="14" spans="1:10" ht="15.75" x14ac:dyDescent="0.25">
      <c r="A14" s="222" t="s">
        <v>309</v>
      </c>
      <c r="B14" s="222" t="s">
        <v>325</v>
      </c>
      <c r="C14" s="223"/>
      <c r="D14" s="223"/>
      <c r="E14" s="228"/>
      <c r="F14" s="229"/>
      <c r="G14" s="223"/>
      <c r="H14" s="223"/>
      <c r="I14" s="225"/>
      <c r="J14" s="224"/>
    </row>
    <row r="15" spans="1:10" ht="15.75" x14ac:dyDescent="0.25">
      <c r="A15" s="222" t="s">
        <v>310</v>
      </c>
      <c r="B15" s="222" t="s">
        <v>325</v>
      </c>
      <c r="C15" s="223"/>
      <c r="D15" s="223"/>
      <c r="E15" s="228"/>
      <c r="F15" s="229"/>
      <c r="G15" s="223"/>
      <c r="H15" s="223"/>
      <c r="I15" s="225"/>
      <c r="J15" s="224"/>
    </row>
    <row r="16" spans="1:10" ht="15.75" x14ac:dyDescent="0.25">
      <c r="A16" s="222" t="s">
        <v>311</v>
      </c>
      <c r="B16" s="222" t="s">
        <v>325</v>
      </c>
      <c r="C16" s="223"/>
      <c r="D16" s="223"/>
      <c r="E16" s="227"/>
      <c r="F16" s="229"/>
      <c r="G16" s="223"/>
      <c r="H16" s="223"/>
      <c r="I16" s="225"/>
      <c r="J16" s="224"/>
    </row>
    <row r="17" spans="1:10" ht="15.75" x14ac:dyDescent="0.25">
      <c r="A17" s="222" t="s">
        <v>315</v>
      </c>
      <c r="B17" s="222" t="s">
        <v>325</v>
      </c>
      <c r="C17" s="224"/>
      <c r="D17" s="219"/>
      <c r="E17" s="234"/>
      <c r="F17" s="235"/>
      <c r="G17" s="219"/>
      <c r="H17" s="219"/>
      <c r="I17" s="237">
        <f>+E17/1.45</f>
        <v>0</v>
      </c>
      <c r="J17" s="224"/>
    </row>
    <row r="18" spans="1:10" x14ac:dyDescent="0.25">
      <c r="A18" s="222" t="s">
        <v>316</v>
      </c>
      <c r="B18" s="222" t="s">
        <v>325</v>
      </c>
      <c r="C18" s="224"/>
      <c r="D18" s="224"/>
      <c r="E18" s="224"/>
      <c r="F18" s="224"/>
      <c r="G18" s="224"/>
      <c r="H18" s="238"/>
      <c r="I18" s="224"/>
      <c r="J18" s="224"/>
    </row>
    <row r="19" spans="1:10" x14ac:dyDescent="0.25">
      <c r="A19" s="222" t="s">
        <v>317</v>
      </c>
      <c r="B19" s="222" t="s">
        <v>325</v>
      </c>
      <c r="C19" s="224"/>
      <c r="D19" s="224"/>
      <c r="E19" s="224"/>
      <c r="F19" s="224"/>
      <c r="G19" s="224"/>
      <c r="H19" s="238"/>
      <c r="I19" s="224"/>
      <c r="J19" s="224"/>
    </row>
    <row r="20" spans="1:10" x14ac:dyDescent="0.25">
      <c r="A20" s="222" t="s">
        <v>318</v>
      </c>
      <c r="B20" s="222" t="s">
        <v>325</v>
      </c>
      <c r="C20" s="224"/>
      <c r="D20" s="224"/>
      <c r="E20" s="224"/>
      <c r="F20" s="224"/>
      <c r="G20" s="224"/>
      <c r="H20" s="224"/>
      <c r="I20" s="224"/>
      <c r="J20" s="224"/>
    </row>
    <row r="21" spans="1:10" x14ac:dyDescent="0.25">
      <c r="A21" s="222" t="s">
        <v>319</v>
      </c>
      <c r="B21" s="222" t="s">
        <v>325</v>
      </c>
      <c r="C21" s="224"/>
      <c r="D21" s="224"/>
      <c r="E21" s="224"/>
      <c r="F21" s="224"/>
      <c r="G21" s="224"/>
      <c r="H21" s="224"/>
      <c r="I21" s="224"/>
      <c r="J21" s="224"/>
    </row>
    <row r="22" spans="1:10" x14ac:dyDescent="0.25">
      <c r="A22" s="222" t="s">
        <v>320</v>
      </c>
      <c r="B22" s="222" t="s">
        <v>325</v>
      </c>
      <c r="C22" s="224"/>
      <c r="D22" s="224"/>
      <c r="E22" s="224"/>
      <c r="F22" s="224"/>
      <c r="G22" s="224"/>
      <c r="H22" s="224"/>
      <c r="I22" s="224"/>
      <c r="J22" s="224"/>
    </row>
    <row r="23" spans="1:10" x14ac:dyDescent="0.25">
      <c r="A23" s="222" t="s">
        <v>326</v>
      </c>
      <c r="B23" s="222" t="s">
        <v>325</v>
      </c>
      <c r="C23" s="224"/>
      <c r="D23" s="224"/>
      <c r="E23" s="224"/>
      <c r="F23" s="224"/>
      <c r="G23" s="224"/>
      <c r="H23" s="224"/>
      <c r="I23" s="224"/>
      <c r="J23" s="224"/>
    </row>
  </sheetData>
  <sortState ref="A2:J23">
    <sortCondition ref="B1"/>
  </sortState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zoomScale="90" zoomScaleNormal="90" zoomScalePageLayoutView="90" workbookViewId="0">
      <pane xSplit="1" topLeftCell="AX1" activePane="topRight" state="frozen"/>
      <selection pane="topRight" activeCell="A9" sqref="A9"/>
    </sheetView>
  </sheetViews>
  <sheetFormatPr defaultColWidth="8.85546875" defaultRowHeight="15" x14ac:dyDescent="0.25"/>
  <cols>
    <col min="1" max="1" width="27.85546875" bestFit="1" customWidth="1"/>
    <col min="2" max="2" width="9.42578125" customWidth="1"/>
    <col min="18" max="18" width="15.140625" customWidth="1"/>
    <col min="19" max="19" width="13.42578125" customWidth="1"/>
    <col min="20" max="20" width="15" customWidth="1"/>
    <col min="21" max="21" width="13.85546875" customWidth="1"/>
    <col min="46" max="46" width="16.7109375" customWidth="1"/>
    <col min="47" max="48" width="17.85546875" customWidth="1"/>
    <col min="49" max="49" width="15.85546875" customWidth="1"/>
    <col min="50" max="50" width="14.42578125" customWidth="1"/>
    <col min="51" max="51" width="16.7109375" customWidth="1"/>
    <col min="52" max="52" width="15.85546875" customWidth="1"/>
    <col min="53" max="53" width="12.85546875" customWidth="1"/>
    <col min="54" max="54" width="13" customWidth="1"/>
    <col min="55" max="55" width="10.7109375" customWidth="1"/>
    <col min="68" max="68" width="7.7109375" customWidth="1"/>
    <col min="69" max="69" width="6.85546875" customWidth="1"/>
  </cols>
  <sheetData>
    <row r="1" spans="1:70" x14ac:dyDescent="0.25">
      <c r="A1" s="5" t="s">
        <v>4</v>
      </c>
      <c r="B1" s="216" t="s">
        <v>31</v>
      </c>
      <c r="C1" s="216"/>
      <c r="D1" s="216"/>
      <c r="E1" s="215"/>
      <c r="F1" s="202" t="s">
        <v>32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14" t="s">
        <v>33</v>
      </c>
      <c r="S1" s="215"/>
      <c r="T1" s="216" t="s">
        <v>34</v>
      </c>
      <c r="U1" s="216"/>
      <c r="V1" s="204" t="s">
        <v>30</v>
      </c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3"/>
      <c r="AH1" s="204" t="s">
        <v>35</v>
      </c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3"/>
      <c r="AT1" s="214" t="s">
        <v>42</v>
      </c>
      <c r="AU1" s="215"/>
      <c r="AV1" s="217" t="s">
        <v>41</v>
      </c>
      <c r="AW1" s="214" t="s">
        <v>40</v>
      </c>
      <c r="AX1" s="215"/>
      <c r="AY1" s="214" t="s">
        <v>39</v>
      </c>
      <c r="AZ1" s="215"/>
      <c r="BA1" s="214" t="s">
        <v>38</v>
      </c>
      <c r="BB1" s="216"/>
      <c r="BC1" s="215"/>
      <c r="BD1" s="204" t="s">
        <v>43</v>
      </c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</row>
    <row r="2" spans="1:70" x14ac:dyDescent="0.25">
      <c r="A2" s="5"/>
      <c r="B2" s="216"/>
      <c r="C2" s="216"/>
      <c r="D2" s="216"/>
      <c r="E2" s="215"/>
      <c r="F2" s="205">
        <v>3.2500000000000001E-2</v>
      </c>
      <c r="G2" s="206"/>
      <c r="H2" s="207"/>
      <c r="I2" s="208">
        <v>0.02</v>
      </c>
      <c r="J2" s="209"/>
      <c r="K2" s="210"/>
      <c r="L2" s="208">
        <v>0.01</v>
      </c>
      <c r="M2" s="209"/>
      <c r="N2" s="210"/>
      <c r="O2" s="202" t="s">
        <v>17</v>
      </c>
      <c r="P2" s="202"/>
      <c r="Q2" s="202"/>
      <c r="R2" s="214"/>
      <c r="S2" s="215"/>
      <c r="T2" s="216"/>
      <c r="U2" s="216"/>
      <c r="V2" s="205">
        <v>3.2500000000000001E-2</v>
      </c>
      <c r="W2" s="206"/>
      <c r="X2" s="207"/>
      <c r="Y2" s="208">
        <v>0.02</v>
      </c>
      <c r="Z2" s="209"/>
      <c r="AA2" s="210"/>
      <c r="AB2" s="208">
        <v>0.01</v>
      </c>
      <c r="AC2" s="209"/>
      <c r="AD2" s="210"/>
      <c r="AE2" s="202" t="s">
        <v>17</v>
      </c>
      <c r="AF2" s="202"/>
      <c r="AG2" s="203"/>
      <c r="AH2" s="205">
        <v>3.2500000000000001E-2</v>
      </c>
      <c r="AI2" s="206"/>
      <c r="AJ2" s="207"/>
      <c r="AK2" s="208">
        <v>0.02</v>
      </c>
      <c r="AL2" s="209"/>
      <c r="AM2" s="210"/>
      <c r="AN2" s="208">
        <v>0.01</v>
      </c>
      <c r="AO2" s="209"/>
      <c r="AP2" s="210"/>
      <c r="AQ2" s="202" t="s">
        <v>17</v>
      </c>
      <c r="AR2" s="202"/>
      <c r="AS2" s="203"/>
      <c r="AT2" s="214"/>
      <c r="AU2" s="215"/>
      <c r="AV2" s="217"/>
      <c r="AW2" s="214"/>
      <c r="AX2" s="215"/>
      <c r="AY2" s="214"/>
      <c r="AZ2" s="215"/>
      <c r="BA2" s="214"/>
      <c r="BB2" s="216"/>
      <c r="BC2" s="215"/>
      <c r="BD2" s="204" t="s">
        <v>25</v>
      </c>
      <c r="BE2" s="202"/>
      <c r="BF2" s="202"/>
      <c r="BG2" s="212"/>
      <c r="BH2" s="211" t="s">
        <v>26</v>
      </c>
      <c r="BI2" s="202"/>
      <c r="BJ2" s="202"/>
      <c r="BK2" s="212"/>
      <c r="BL2" s="211" t="s">
        <v>27</v>
      </c>
      <c r="BM2" s="202"/>
      <c r="BN2" s="202"/>
      <c r="BO2" s="212"/>
      <c r="BP2" s="211" t="s">
        <v>28</v>
      </c>
      <c r="BQ2" s="212"/>
      <c r="BR2" s="13" t="s">
        <v>0</v>
      </c>
    </row>
    <row r="3" spans="1:70" ht="15.75" thickBot="1" x14ac:dyDescent="0.3">
      <c r="B3" s="23">
        <v>3.2500000000000001E-2</v>
      </c>
      <c r="C3" s="21">
        <v>0.02</v>
      </c>
      <c r="D3" s="21">
        <v>0.01</v>
      </c>
      <c r="E3" s="20" t="s">
        <v>17</v>
      </c>
      <c r="F3" s="10" t="s">
        <v>18</v>
      </c>
      <c r="G3" s="7" t="s">
        <v>19</v>
      </c>
      <c r="H3" s="8" t="s">
        <v>20</v>
      </c>
      <c r="I3" s="9" t="s">
        <v>18</v>
      </c>
      <c r="J3" s="7" t="s">
        <v>19</v>
      </c>
      <c r="K3" s="8" t="s">
        <v>20</v>
      </c>
      <c r="L3" s="9" t="s">
        <v>18</v>
      </c>
      <c r="M3" s="7" t="s">
        <v>19</v>
      </c>
      <c r="N3" s="8" t="s">
        <v>20</v>
      </c>
      <c r="O3" s="7" t="s">
        <v>18</v>
      </c>
      <c r="P3" s="7" t="s">
        <v>19</v>
      </c>
      <c r="Q3" s="11" t="s">
        <v>20</v>
      </c>
      <c r="R3" s="16" t="s">
        <v>21</v>
      </c>
      <c r="S3" s="20" t="s">
        <v>2</v>
      </c>
      <c r="T3" s="17" t="s">
        <v>21</v>
      </c>
      <c r="U3" s="17" t="s">
        <v>2</v>
      </c>
      <c r="V3" s="27" t="s">
        <v>18</v>
      </c>
      <c r="W3" s="28" t="s">
        <v>19</v>
      </c>
      <c r="X3" s="29" t="s">
        <v>20</v>
      </c>
      <c r="Y3" s="30" t="s">
        <v>18</v>
      </c>
      <c r="Z3" s="28" t="s">
        <v>19</v>
      </c>
      <c r="AA3" s="29" t="s">
        <v>20</v>
      </c>
      <c r="AB3" s="30" t="s">
        <v>18</v>
      </c>
      <c r="AC3" s="28" t="s">
        <v>19</v>
      </c>
      <c r="AD3" s="29" t="s">
        <v>20</v>
      </c>
      <c r="AE3" s="31" t="s">
        <v>18</v>
      </c>
      <c r="AF3" s="31" t="s">
        <v>19</v>
      </c>
      <c r="AG3" s="32" t="s">
        <v>20</v>
      </c>
      <c r="AH3" s="33" t="s">
        <v>18</v>
      </c>
      <c r="AI3" s="31" t="s">
        <v>19</v>
      </c>
      <c r="AJ3" s="34" t="s">
        <v>20</v>
      </c>
      <c r="AK3" s="35" t="s">
        <v>18</v>
      </c>
      <c r="AL3" s="31" t="s">
        <v>19</v>
      </c>
      <c r="AM3" s="34" t="s">
        <v>20</v>
      </c>
      <c r="AN3" s="35" t="s">
        <v>18</v>
      </c>
      <c r="AO3" s="31" t="s">
        <v>19</v>
      </c>
      <c r="AP3" s="34" t="s">
        <v>20</v>
      </c>
      <c r="AQ3" s="31" t="s">
        <v>18</v>
      </c>
      <c r="AR3" s="31" t="s">
        <v>19</v>
      </c>
      <c r="AS3" s="32" t="s">
        <v>20</v>
      </c>
      <c r="AT3" s="27" t="s">
        <v>3</v>
      </c>
      <c r="AU3" s="36" t="s">
        <v>2</v>
      </c>
      <c r="AV3" s="217"/>
      <c r="AW3" s="16" t="s">
        <v>3</v>
      </c>
      <c r="AX3" s="20" t="s">
        <v>2</v>
      </c>
      <c r="AY3" s="27" t="s">
        <v>18</v>
      </c>
      <c r="AZ3" s="36" t="s">
        <v>19</v>
      </c>
      <c r="BA3" s="27" t="s">
        <v>22</v>
      </c>
      <c r="BB3" s="28" t="s">
        <v>23</v>
      </c>
      <c r="BC3" s="36" t="s">
        <v>24</v>
      </c>
      <c r="BD3" s="22">
        <v>3.2500000000000001E-2</v>
      </c>
      <c r="BE3" s="21">
        <v>0.02</v>
      </c>
      <c r="BF3" s="21">
        <v>0.01</v>
      </c>
      <c r="BG3" s="18" t="s">
        <v>17</v>
      </c>
      <c r="BH3" s="37">
        <v>3.2500000000000001E-2</v>
      </c>
      <c r="BI3" s="21">
        <v>0.02</v>
      </c>
      <c r="BJ3" s="21">
        <v>0.01</v>
      </c>
      <c r="BK3" s="18" t="s">
        <v>17</v>
      </c>
      <c r="BL3" s="37">
        <v>3.2500000000000001E-2</v>
      </c>
      <c r="BM3" s="21">
        <v>0.02</v>
      </c>
      <c r="BN3" s="21">
        <v>0.01</v>
      </c>
      <c r="BO3" s="18" t="s">
        <v>17</v>
      </c>
      <c r="BP3" s="9" t="s">
        <v>18</v>
      </c>
      <c r="BQ3" s="8" t="s">
        <v>19</v>
      </c>
      <c r="BR3" s="13" t="s">
        <v>29</v>
      </c>
    </row>
    <row r="4" spans="1:70" ht="15.75" thickTop="1" x14ac:dyDescent="0.25">
      <c r="A4" t="s">
        <v>5</v>
      </c>
      <c r="B4" s="38">
        <v>0</v>
      </c>
      <c r="C4" s="38">
        <v>10</v>
      </c>
      <c r="D4" s="38">
        <v>15</v>
      </c>
      <c r="E4" s="39">
        <v>0</v>
      </c>
      <c r="F4" s="40">
        <v>0</v>
      </c>
      <c r="G4" s="41">
        <v>0</v>
      </c>
      <c r="H4" s="42">
        <v>0</v>
      </c>
      <c r="I4" s="43">
        <v>4</v>
      </c>
      <c r="J4" s="41">
        <v>3</v>
      </c>
      <c r="K4" s="42">
        <v>5</v>
      </c>
      <c r="L4" s="43">
        <v>4</v>
      </c>
      <c r="M4" s="38">
        <v>3</v>
      </c>
      <c r="N4" s="42">
        <v>5</v>
      </c>
      <c r="O4" s="38">
        <v>0</v>
      </c>
      <c r="P4" s="38">
        <v>0</v>
      </c>
      <c r="Q4" s="38">
        <v>0</v>
      </c>
      <c r="R4" s="40" t="s">
        <v>21</v>
      </c>
      <c r="S4" s="39"/>
      <c r="T4" s="38" t="s">
        <v>21</v>
      </c>
      <c r="U4" s="38"/>
      <c r="V4" s="40">
        <v>2</v>
      </c>
      <c r="W4" s="38">
        <v>3</v>
      </c>
      <c r="X4" s="38">
        <v>2</v>
      </c>
      <c r="Y4" s="43">
        <v>3</v>
      </c>
      <c r="Z4" s="38">
        <v>3</v>
      </c>
      <c r="AA4" s="42">
        <v>2</v>
      </c>
      <c r="AB4" s="43">
        <v>3</v>
      </c>
      <c r="AC4" s="38">
        <v>3</v>
      </c>
      <c r="AD4" s="42">
        <v>2</v>
      </c>
      <c r="AE4" s="38">
        <v>1</v>
      </c>
      <c r="AF4" s="38">
        <v>2</v>
      </c>
      <c r="AG4" s="39">
        <v>2</v>
      </c>
      <c r="AH4" s="55">
        <v>1.29</v>
      </c>
      <c r="AI4" s="63">
        <v>3.29</v>
      </c>
      <c r="AJ4" s="63">
        <v>5.99</v>
      </c>
      <c r="AK4" s="44">
        <v>1.2</v>
      </c>
      <c r="AL4" s="45">
        <v>2.4900000000000002</v>
      </c>
      <c r="AM4" s="93">
        <v>4.29</v>
      </c>
      <c r="AN4" s="44">
        <v>1.25</v>
      </c>
      <c r="AO4" s="45">
        <v>2.59</v>
      </c>
      <c r="AP4" s="93">
        <v>4.3899999999999997</v>
      </c>
      <c r="AQ4" s="44">
        <v>1.25</v>
      </c>
      <c r="AR4" s="45">
        <v>2.38</v>
      </c>
      <c r="AS4" s="46">
        <v>5.49</v>
      </c>
      <c r="AT4" s="40" t="s">
        <v>3</v>
      </c>
      <c r="AU4" s="39"/>
      <c r="AV4" s="47">
        <v>15</v>
      </c>
      <c r="AW4" s="74" t="s">
        <v>3</v>
      </c>
      <c r="AX4" s="75"/>
      <c r="AY4" s="40">
        <v>10</v>
      </c>
      <c r="AZ4" s="39">
        <v>5</v>
      </c>
      <c r="BA4" s="48">
        <v>2.4</v>
      </c>
      <c r="BB4" s="45">
        <v>4.8499999999999996</v>
      </c>
      <c r="BC4" s="50">
        <v>4.9000000000000004</v>
      </c>
      <c r="BD4" s="48">
        <v>0.4</v>
      </c>
      <c r="BE4" s="45">
        <v>0.4</v>
      </c>
      <c r="BF4" s="45">
        <v>0.5</v>
      </c>
      <c r="BG4" s="46">
        <v>0.5</v>
      </c>
      <c r="BH4" s="44">
        <v>0.6</v>
      </c>
      <c r="BI4" s="45">
        <v>0.6</v>
      </c>
      <c r="BJ4" s="45">
        <v>0.75</v>
      </c>
      <c r="BK4" s="46">
        <v>0.75</v>
      </c>
      <c r="BL4" s="44">
        <v>0.75</v>
      </c>
      <c r="BM4" s="45">
        <v>0.75</v>
      </c>
      <c r="BN4" s="45">
        <v>0.9</v>
      </c>
      <c r="BO4" s="46">
        <v>0.9</v>
      </c>
      <c r="BP4" s="44">
        <v>0.5</v>
      </c>
      <c r="BQ4" s="46">
        <v>1</v>
      </c>
      <c r="BR4" s="49">
        <v>1</v>
      </c>
    </row>
    <row r="5" spans="1:70" x14ac:dyDescent="0.25">
      <c r="A5" t="s">
        <v>6</v>
      </c>
      <c r="B5" s="25">
        <v>0</v>
      </c>
      <c r="C5" s="25">
        <v>0</v>
      </c>
      <c r="D5" s="25">
        <v>0</v>
      </c>
      <c r="E5" s="60">
        <v>0</v>
      </c>
      <c r="F5" s="68">
        <v>0</v>
      </c>
      <c r="G5" s="25">
        <v>0</v>
      </c>
      <c r="H5" s="25">
        <v>0</v>
      </c>
      <c r="I5" s="24">
        <v>0</v>
      </c>
      <c r="J5" s="25">
        <v>0</v>
      </c>
      <c r="K5" s="26">
        <v>0</v>
      </c>
      <c r="L5" s="24">
        <v>0</v>
      </c>
      <c r="M5" s="25">
        <v>0</v>
      </c>
      <c r="N5" s="26">
        <v>0</v>
      </c>
      <c r="O5" s="24">
        <v>0</v>
      </c>
      <c r="P5" s="25">
        <v>0</v>
      </c>
      <c r="Q5" s="60">
        <v>0</v>
      </c>
      <c r="R5" s="68" t="s">
        <v>21</v>
      </c>
      <c r="S5" s="60"/>
      <c r="T5" s="25" t="s">
        <v>21</v>
      </c>
      <c r="U5" s="25"/>
      <c r="V5" s="68">
        <v>2</v>
      </c>
      <c r="W5" s="25">
        <v>2</v>
      </c>
      <c r="X5" s="26">
        <v>0</v>
      </c>
      <c r="Y5" s="24">
        <v>2</v>
      </c>
      <c r="Z5" s="59">
        <v>2</v>
      </c>
      <c r="AA5" s="26">
        <v>0</v>
      </c>
      <c r="AB5" s="24">
        <v>3</v>
      </c>
      <c r="AC5" s="59">
        <v>3</v>
      </c>
      <c r="AD5" s="26">
        <v>0</v>
      </c>
      <c r="AE5" s="59">
        <v>3</v>
      </c>
      <c r="AF5" s="59">
        <v>3</v>
      </c>
      <c r="AG5" s="60">
        <v>1</v>
      </c>
      <c r="AH5" s="56">
        <v>1.2</v>
      </c>
      <c r="AI5" s="62">
        <v>3.25</v>
      </c>
      <c r="AJ5" s="61">
        <v>6</v>
      </c>
      <c r="AK5" s="57">
        <v>1.25</v>
      </c>
      <c r="AL5" s="62">
        <v>2.5</v>
      </c>
      <c r="AM5" s="61">
        <v>4.5</v>
      </c>
      <c r="AN5" s="57">
        <v>1.5</v>
      </c>
      <c r="AO5" s="62">
        <v>2.5</v>
      </c>
      <c r="AP5" s="61">
        <v>4</v>
      </c>
      <c r="AQ5" s="64">
        <v>1.5</v>
      </c>
      <c r="AR5" s="65">
        <v>2.75</v>
      </c>
      <c r="AS5" s="99">
        <v>6</v>
      </c>
      <c r="AT5" s="68" t="s">
        <v>3</v>
      </c>
      <c r="AU5" s="66"/>
      <c r="AV5" s="73">
        <v>5</v>
      </c>
      <c r="AW5" s="68" t="s">
        <v>36</v>
      </c>
      <c r="AX5" s="66"/>
      <c r="AY5" s="68">
        <v>5</v>
      </c>
      <c r="AZ5" s="60">
        <v>2</v>
      </c>
      <c r="BA5" s="56">
        <v>2.5</v>
      </c>
      <c r="BB5" s="62">
        <v>4.9000000000000004</v>
      </c>
      <c r="BC5" s="67">
        <v>5</v>
      </c>
      <c r="BD5" s="56">
        <v>0.3</v>
      </c>
      <c r="BE5" s="62">
        <v>0.3</v>
      </c>
      <c r="BF5" s="62">
        <v>0.3</v>
      </c>
      <c r="BG5" s="61">
        <v>0.3</v>
      </c>
      <c r="BH5" s="62">
        <v>0.3</v>
      </c>
      <c r="BI5" s="62">
        <v>0.3</v>
      </c>
      <c r="BJ5" s="62">
        <v>0.3</v>
      </c>
      <c r="BK5" s="61">
        <v>0.3</v>
      </c>
      <c r="BL5" s="62">
        <v>0.3</v>
      </c>
      <c r="BM5" s="62">
        <v>0.3</v>
      </c>
      <c r="BN5" s="62">
        <v>0.3</v>
      </c>
      <c r="BO5" s="61">
        <v>0.3</v>
      </c>
      <c r="BP5" s="62">
        <v>0.3</v>
      </c>
      <c r="BQ5" s="62">
        <v>0.3</v>
      </c>
      <c r="BR5" s="58">
        <v>0.3</v>
      </c>
    </row>
    <row r="6" spans="1:70" x14ac:dyDescent="0.25">
      <c r="A6" t="s">
        <v>7</v>
      </c>
      <c r="B6" s="17">
        <v>0</v>
      </c>
      <c r="C6" s="17">
        <v>5</v>
      </c>
      <c r="D6" s="17">
        <v>5</v>
      </c>
      <c r="E6" s="20">
        <v>3</v>
      </c>
      <c r="F6" s="16">
        <v>1</v>
      </c>
      <c r="G6" s="28">
        <v>1</v>
      </c>
      <c r="H6" s="18">
        <v>0</v>
      </c>
      <c r="I6" s="19">
        <v>1</v>
      </c>
      <c r="J6" s="28">
        <v>1</v>
      </c>
      <c r="K6" s="18">
        <v>0</v>
      </c>
      <c r="L6" s="19">
        <v>3</v>
      </c>
      <c r="M6" s="28">
        <v>2</v>
      </c>
      <c r="N6" s="18">
        <v>2</v>
      </c>
      <c r="O6" s="28">
        <v>3</v>
      </c>
      <c r="P6" s="28">
        <v>2</v>
      </c>
      <c r="Q6" s="28">
        <v>2</v>
      </c>
      <c r="R6" s="16" t="s">
        <v>21</v>
      </c>
      <c r="S6" s="11"/>
      <c r="T6" s="25" t="s">
        <v>21</v>
      </c>
      <c r="U6" s="7"/>
      <c r="V6" s="10">
        <v>1</v>
      </c>
      <c r="W6" s="7">
        <v>1</v>
      </c>
      <c r="X6" s="8">
        <v>0</v>
      </c>
      <c r="Y6" s="9">
        <v>2</v>
      </c>
      <c r="Z6" s="31">
        <v>2</v>
      </c>
      <c r="AA6" s="8">
        <v>1</v>
      </c>
      <c r="AB6" s="19">
        <v>2</v>
      </c>
      <c r="AC6" s="17">
        <v>2</v>
      </c>
      <c r="AD6" s="18">
        <v>2</v>
      </c>
      <c r="AE6" s="17">
        <v>2</v>
      </c>
      <c r="AF6" s="17">
        <v>2</v>
      </c>
      <c r="AG6" s="20">
        <v>2</v>
      </c>
      <c r="AH6" s="56">
        <v>1.45</v>
      </c>
      <c r="AI6" s="62">
        <v>3.45</v>
      </c>
      <c r="AJ6" s="61">
        <v>6.25</v>
      </c>
      <c r="AK6" s="57">
        <v>1.45</v>
      </c>
      <c r="AL6" s="62">
        <v>2.75</v>
      </c>
      <c r="AM6" s="61">
        <v>4.75</v>
      </c>
      <c r="AN6" s="57">
        <v>1.5</v>
      </c>
      <c r="AO6" s="62">
        <v>2.75</v>
      </c>
      <c r="AP6" s="61">
        <v>4.59</v>
      </c>
      <c r="AQ6" s="64">
        <v>1.35</v>
      </c>
      <c r="AR6" s="95">
        <v>2.95</v>
      </c>
      <c r="AS6" s="99">
        <v>6.39</v>
      </c>
      <c r="AT6" s="68" t="s">
        <v>3</v>
      </c>
      <c r="AU6" s="11"/>
      <c r="AV6" s="105">
        <v>3</v>
      </c>
      <c r="AW6" s="68" t="s">
        <v>36</v>
      </c>
      <c r="AX6" s="66"/>
      <c r="AY6" s="68">
        <v>5</v>
      </c>
      <c r="AZ6" s="60">
        <v>3</v>
      </c>
      <c r="BA6" s="56">
        <v>2.75</v>
      </c>
      <c r="BB6" s="62">
        <v>4.8499999999999996</v>
      </c>
      <c r="BC6" s="67">
        <v>5</v>
      </c>
      <c r="BD6" s="56">
        <v>0.3</v>
      </c>
      <c r="BE6" s="62">
        <v>0.3</v>
      </c>
      <c r="BF6" s="62">
        <v>0.3</v>
      </c>
      <c r="BG6" s="61">
        <v>0.3</v>
      </c>
      <c r="BH6" s="19">
        <v>0.5</v>
      </c>
      <c r="BI6" s="25">
        <v>0.5</v>
      </c>
      <c r="BJ6" s="62">
        <v>0.75</v>
      </c>
      <c r="BK6" s="61">
        <v>0.6</v>
      </c>
      <c r="BL6" s="62">
        <v>0.8</v>
      </c>
      <c r="BM6" s="62">
        <v>0.8</v>
      </c>
      <c r="BN6" s="62">
        <v>0.9</v>
      </c>
      <c r="BO6" s="61">
        <v>0.9</v>
      </c>
      <c r="BP6" s="62">
        <v>0.45</v>
      </c>
      <c r="BQ6" s="62">
        <v>0.95</v>
      </c>
      <c r="BR6" s="58">
        <v>1</v>
      </c>
    </row>
    <row r="7" spans="1:70" x14ac:dyDescent="0.25">
      <c r="A7" t="s">
        <v>8</v>
      </c>
      <c r="B7" s="25">
        <v>5</v>
      </c>
      <c r="C7" s="25">
        <v>5</v>
      </c>
      <c r="D7" s="25">
        <v>7</v>
      </c>
      <c r="E7" s="60">
        <v>10</v>
      </c>
      <c r="F7" s="68">
        <v>4</v>
      </c>
      <c r="G7" s="59">
        <v>3</v>
      </c>
      <c r="H7" s="26">
        <v>0</v>
      </c>
      <c r="I7" s="24">
        <v>4</v>
      </c>
      <c r="J7" s="59">
        <v>3</v>
      </c>
      <c r="K7" s="26">
        <v>0</v>
      </c>
      <c r="L7" s="24">
        <v>4</v>
      </c>
      <c r="M7" s="59">
        <v>5</v>
      </c>
      <c r="N7" s="26">
        <v>0</v>
      </c>
      <c r="O7" s="59">
        <v>6</v>
      </c>
      <c r="P7" s="59">
        <v>5</v>
      </c>
      <c r="Q7" s="25">
        <v>1</v>
      </c>
      <c r="R7" s="68" t="s">
        <v>21</v>
      </c>
      <c r="S7" s="60"/>
      <c r="T7" s="72" t="s">
        <v>3</v>
      </c>
      <c r="U7" s="25"/>
      <c r="V7" s="68">
        <v>2</v>
      </c>
      <c r="W7" s="25">
        <v>2</v>
      </c>
      <c r="X7" s="26">
        <v>0</v>
      </c>
      <c r="Y7" s="24">
        <v>2</v>
      </c>
      <c r="Z7" s="59">
        <v>2</v>
      </c>
      <c r="AA7" s="26">
        <v>0</v>
      </c>
      <c r="AB7" s="24">
        <v>2</v>
      </c>
      <c r="AC7" s="59">
        <v>2</v>
      </c>
      <c r="AD7" s="26">
        <v>0</v>
      </c>
      <c r="AE7" s="59">
        <v>2</v>
      </c>
      <c r="AF7" s="59">
        <v>2</v>
      </c>
      <c r="AG7" s="60">
        <v>0</v>
      </c>
      <c r="AH7" s="56">
        <v>1.65</v>
      </c>
      <c r="AI7" s="62">
        <v>3.95</v>
      </c>
      <c r="AJ7" s="61">
        <v>6.5</v>
      </c>
      <c r="AK7" s="57">
        <v>1.45</v>
      </c>
      <c r="AL7" s="62">
        <v>3</v>
      </c>
      <c r="AM7" s="61">
        <v>5.29</v>
      </c>
      <c r="AN7" s="57">
        <v>1.45</v>
      </c>
      <c r="AO7" s="62">
        <v>3</v>
      </c>
      <c r="AP7" s="61">
        <v>5.29</v>
      </c>
      <c r="AQ7" s="57">
        <v>1.75</v>
      </c>
      <c r="AR7" s="62">
        <v>2.85</v>
      </c>
      <c r="AS7" s="67">
        <v>6.5</v>
      </c>
      <c r="AT7" s="68" t="s">
        <v>3</v>
      </c>
      <c r="AU7" s="66"/>
      <c r="AV7" s="73">
        <v>3</v>
      </c>
      <c r="AW7" s="68" t="s">
        <v>3</v>
      </c>
      <c r="AX7" s="66"/>
      <c r="AY7" s="68">
        <v>5</v>
      </c>
      <c r="AZ7" s="60">
        <v>2</v>
      </c>
      <c r="BA7" s="56">
        <v>2.75</v>
      </c>
      <c r="BB7" s="62">
        <v>5.25</v>
      </c>
      <c r="BC7" s="67">
        <v>5.5</v>
      </c>
      <c r="BD7" s="56">
        <v>0.45</v>
      </c>
      <c r="BE7" s="92">
        <v>0.45</v>
      </c>
      <c r="BF7" s="62">
        <v>0.5</v>
      </c>
      <c r="BG7" s="61">
        <v>0.5</v>
      </c>
      <c r="BH7" s="53">
        <v>0.65</v>
      </c>
      <c r="BI7" s="25">
        <v>0.65</v>
      </c>
      <c r="BJ7" s="62">
        <v>0.8</v>
      </c>
      <c r="BK7" s="61">
        <v>0.9</v>
      </c>
      <c r="BL7" s="62">
        <v>0.8</v>
      </c>
      <c r="BM7" s="62">
        <v>0.9</v>
      </c>
      <c r="BN7" s="62">
        <v>0.95</v>
      </c>
      <c r="BO7" s="61">
        <v>0.95</v>
      </c>
      <c r="BP7" s="62">
        <v>0.55000000000000004</v>
      </c>
      <c r="BQ7" s="62">
        <v>1</v>
      </c>
      <c r="BR7" s="58">
        <v>1.25</v>
      </c>
    </row>
    <row r="8" spans="1:70" x14ac:dyDescent="0.25">
      <c r="A8" t="s">
        <v>9</v>
      </c>
      <c r="B8" s="59">
        <v>7</v>
      </c>
      <c r="C8" s="59">
        <v>10</v>
      </c>
      <c r="D8" s="59">
        <v>17</v>
      </c>
      <c r="E8" s="60">
        <v>12</v>
      </c>
      <c r="F8" s="68">
        <v>2</v>
      </c>
      <c r="G8" s="59">
        <v>3</v>
      </c>
      <c r="H8" s="26">
        <v>3</v>
      </c>
      <c r="I8" s="24">
        <v>4</v>
      </c>
      <c r="J8" s="59">
        <v>4</v>
      </c>
      <c r="K8" s="26">
        <v>2</v>
      </c>
      <c r="L8" s="24">
        <v>6</v>
      </c>
      <c r="M8" s="59">
        <v>5</v>
      </c>
      <c r="N8" s="26">
        <v>2</v>
      </c>
      <c r="O8" s="59">
        <v>6</v>
      </c>
      <c r="P8" s="59">
        <v>5</v>
      </c>
      <c r="Q8" s="76">
        <v>2</v>
      </c>
      <c r="R8" s="68" t="s">
        <v>21</v>
      </c>
      <c r="S8" s="60"/>
      <c r="T8" s="72" t="s">
        <v>3</v>
      </c>
      <c r="U8" s="25"/>
      <c r="V8" s="51">
        <v>4</v>
      </c>
      <c r="W8" s="52">
        <v>4</v>
      </c>
      <c r="X8" s="54">
        <v>2</v>
      </c>
      <c r="Y8" s="53">
        <v>4</v>
      </c>
      <c r="Z8" s="52">
        <v>4</v>
      </c>
      <c r="AA8" s="52">
        <v>2</v>
      </c>
      <c r="AB8" s="19">
        <v>4</v>
      </c>
      <c r="AC8" s="28">
        <v>3</v>
      </c>
      <c r="AD8" s="18">
        <v>2</v>
      </c>
      <c r="AE8" s="28">
        <v>4</v>
      </c>
      <c r="AF8" s="28">
        <v>3</v>
      </c>
      <c r="AG8" s="20">
        <v>3</v>
      </c>
      <c r="AH8" s="56">
        <v>1.45</v>
      </c>
      <c r="AI8" s="62">
        <v>3.75</v>
      </c>
      <c r="AJ8" s="61">
        <v>6.49</v>
      </c>
      <c r="AK8" s="57">
        <v>1.35</v>
      </c>
      <c r="AL8" s="62">
        <v>2.95</v>
      </c>
      <c r="AM8" s="61">
        <v>4.8</v>
      </c>
      <c r="AN8" s="57">
        <v>1.65</v>
      </c>
      <c r="AO8" s="62">
        <v>2.95</v>
      </c>
      <c r="AP8" s="61">
        <v>4.99</v>
      </c>
      <c r="AQ8" s="57">
        <v>1.55</v>
      </c>
      <c r="AR8" s="62">
        <v>2.9</v>
      </c>
      <c r="AS8" s="67">
        <v>5.5</v>
      </c>
      <c r="AT8" s="68" t="s">
        <v>3</v>
      </c>
      <c r="AU8" s="66"/>
      <c r="AV8" s="73">
        <v>5</v>
      </c>
      <c r="AW8" s="68" t="s">
        <v>3</v>
      </c>
      <c r="AX8" s="66"/>
      <c r="AY8" s="68">
        <v>7</v>
      </c>
      <c r="AZ8" s="60">
        <v>2</v>
      </c>
      <c r="BA8" s="56">
        <v>2.5</v>
      </c>
      <c r="BB8" s="62">
        <v>5</v>
      </c>
      <c r="BC8" s="67">
        <v>5.25</v>
      </c>
      <c r="BD8" s="56">
        <v>0.4</v>
      </c>
      <c r="BE8" s="62">
        <v>0.4</v>
      </c>
      <c r="BF8" s="92">
        <v>0.45</v>
      </c>
      <c r="BG8" s="92">
        <v>0.45</v>
      </c>
      <c r="BH8" s="115">
        <v>0.65</v>
      </c>
      <c r="BI8" s="65">
        <v>0.65</v>
      </c>
      <c r="BJ8" s="62">
        <v>0.75</v>
      </c>
      <c r="BK8" s="61">
        <v>0.85</v>
      </c>
      <c r="BL8" s="62">
        <v>0.85</v>
      </c>
      <c r="BM8" s="62">
        <v>0.85</v>
      </c>
      <c r="BN8" s="62">
        <v>0.9</v>
      </c>
      <c r="BO8" s="61">
        <v>0.9</v>
      </c>
      <c r="BP8" s="62">
        <v>0.5</v>
      </c>
      <c r="BQ8" s="62">
        <v>1</v>
      </c>
      <c r="BR8" s="58">
        <v>1</v>
      </c>
    </row>
    <row r="9" spans="1:70" x14ac:dyDescent="0.25">
      <c r="A9" t="s">
        <v>10</v>
      </c>
      <c r="B9" s="59">
        <v>10</v>
      </c>
      <c r="C9" s="59">
        <v>20</v>
      </c>
      <c r="D9" s="59">
        <v>25</v>
      </c>
      <c r="E9" s="59">
        <v>25</v>
      </c>
      <c r="F9" s="68">
        <v>0</v>
      </c>
      <c r="G9" s="59">
        <v>3</v>
      </c>
      <c r="H9" s="26">
        <v>2</v>
      </c>
      <c r="I9" s="25">
        <v>4</v>
      </c>
      <c r="J9" s="25">
        <v>10</v>
      </c>
      <c r="K9" s="26">
        <v>4</v>
      </c>
      <c r="L9" s="59">
        <v>4</v>
      </c>
      <c r="M9" s="59">
        <v>10</v>
      </c>
      <c r="N9" s="59">
        <v>6</v>
      </c>
      <c r="O9" s="80">
        <v>6</v>
      </c>
      <c r="P9" s="25">
        <v>10</v>
      </c>
      <c r="Q9" s="60">
        <v>6</v>
      </c>
      <c r="R9" s="68" t="s">
        <v>21</v>
      </c>
      <c r="S9" s="60"/>
      <c r="T9" s="72" t="s">
        <v>3</v>
      </c>
      <c r="U9" s="25"/>
      <c r="V9" s="68">
        <v>4</v>
      </c>
      <c r="W9" s="25">
        <v>4</v>
      </c>
      <c r="X9" s="26">
        <v>4</v>
      </c>
      <c r="Y9" s="24">
        <v>4</v>
      </c>
      <c r="Z9" s="25">
        <v>4</v>
      </c>
      <c r="AA9" s="25">
        <v>4</v>
      </c>
      <c r="AB9" s="24">
        <v>6</v>
      </c>
      <c r="AC9" s="25">
        <v>4</v>
      </c>
      <c r="AD9" s="26">
        <v>4</v>
      </c>
      <c r="AE9" s="25">
        <v>6</v>
      </c>
      <c r="AF9" s="25">
        <v>4</v>
      </c>
      <c r="AG9" s="60">
        <v>4</v>
      </c>
      <c r="AH9" s="56">
        <v>1.45</v>
      </c>
      <c r="AI9" s="62">
        <v>3.75</v>
      </c>
      <c r="AJ9" s="61">
        <v>6.49</v>
      </c>
      <c r="AK9" s="57">
        <v>1.4</v>
      </c>
      <c r="AL9" s="62">
        <v>2.85</v>
      </c>
      <c r="AM9" s="61">
        <v>4.75</v>
      </c>
      <c r="AN9" s="57">
        <v>1.45</v>
      </c>
      <c r="AO9" s="62">
        <v>2.85</v>
      </c>
      <c r="AP9" s="61">
        <v>4.79</v>
      </c>
      <c r="AQ9" s="57">
        <v>1.45</v>
      </c>
      <c r="AR9" s="62">
        <v>2.8</v>
      </c>
      <c r="AS9" s="67">
        <v>5.25</v>
      </c>
      <c r="AT9" s="68" t="s">
        <v>3</v>
      </c>
      <c r="AU9" s="66"/>
      <c r="AV9" s="73">
        <v>8</v>
      </c>
      <c r="AW9" s="68" t="s">
        <v>3</v>
      </c>
      <c r="AX9" s="66"/>
      <c r="AY9" s="68">
        <v>8</v>
      </c>
      <c r="AZ9" s="60">
        <v>4</v>
      </c>
      <c r="BA9" s="56">
        <v>2.4500000000000002</v>
      </c>
      <c r="BB9" s="62">
        <v>4.9000000000000004</v>
      </c>
      <c r="BC9" s="67">
        <v>5</v>
      </c>
      <c r="BD9" s="56">
        <v>0.4</v>
      </c>
      <c r="BE9" s="62">
        <v>0.4</v>
      </c>
      <c r="BF9" s="92">
        <v>0.45</v>
      </c>
      <c r="BG9" s="92">
        <v>0.45</v>
      </c>
      <c r="BH9" s="57">
        <v>0.6</v>
      </c>
      <c r="BI9" s="65">
        <v>0.6</v>
      </c>
      <c r="BJ9" s="62">
        <v>0.75</v>
      </c>
      <c r="BK9" s="61">
        <v>0.85</v>
      </c>
      <c r="BL9" s="62">
        <v>0.85</v>
      </c>
      <c r="BM9" s="62">
        <v>0.85</v>
      </c>
      <c r="BN9" s="62">
        <v>0.9</v>
      </c>
      <c r="BO9" s="61">
        <v>0.9</v>
      </c>
      <c r="BP9" s="62">
        <v>0.5</v>
      </c>
      <c r="BQ9" s="62">
        <v>1</v>
      </c>
      <c r="BR9" s="58">
        <v>1</v>
      </c>
    </row>
    <row r="10" spans="1:70" x14ac:dyDescent="0.25">
      <c r="A10" t="s">
        <v>11</v>
      </c>
      <c r="B10" s="59">
        <v>5</v>
      </c>
      <c r="C10" s="59">
        <v>12</v>
      </c>
      <c r="D10" s="59">
        <v>15</v>
      </c>
      <c r="E10" s="59">
        <v>20</v>
      </c>
      <c r="F10" s="68">
        <v>2</v>
      </c>
      <c r="G10" s="59">
        <v>3</v>
      </c>
      <c r="H10" s="26">
        <v>1</v>
      </c>
      <c r="I10" s="19">
        <v>4</v>
      </c>
      <c r="J10" s="28">
        <v>6</v>
      </c>
      <c r="K10" s="18">
        <v>2</v>
      </c>
      <c r="L10" s="59">
        <v>2</v>
      </c>
      <c r="M10" s="28">
        <v>7</v>
      </c>
      <c r="N10" s="81">
        <v>4</v>
      </c>
      <c r="O10" s="30">
        <v>8</v>
      </c>
      <c r="P10" s="28">
        <v>6</v>
      </c>
      <c r="Q10" s="36">
        <v>5</v>
      </c>
      <c r="R10" s="68" t="s">
        <v>21</v>
      </c>
      <c r="S10" s="60"/>
      <c r="T10" s="72" t="s">
        <v>3</v>
      </c>
      <c r="U10" s="25"/>
      <c r="V10" s="15">
        <v>4</v>
      </c>
      <c r="W10" s="14">
        <v>3</v>
      </c>
      <c r="X10" s="18">
        <v>2</v>
      </c>
      <c r="Y10" s="24">
        <v>2</v>
      </c>
      <c r="Z10" s="25">
        <v>3</v>
      </c>
      <c r="AA10" s="25">
        <v>2</v>
      </c>
      <c r="AB10" s="19">
        <v>3</v>
      </c>
      <c r="AC10" s="28">
        <v>3</v>
      </c>
      <c r="AD10" s="18">
        <v>2</v>
      </c>
      <c r="AE10" s="28">
        <v>3</v>
      </c>
      <c r="AF10" s="28">
        <v>3</v>
      </c>
      <c r="AG10" s="20">
        <v>2</v>
      </c>
      <c r="AH10" s="56">
        <v>1.35</v>
      </c>
      <c r="AI10" s="62">
        <v>3.75</v>
      </c>
      <c r="AJ10" s="61">
        <v>6.25</v>
      </c>
      <c r="AK10" s="57">
        <v>1.35</v>
      </c>
      <c r="AL10" s="62">
        <v>2.5499999999999998</v>
      </c>
      <c r="AM10" s="61">
        <v>4.29</v>
      </c>
      <c r="AN10" s="57">
        <v>1.25</v>
      </c>
      <c r="AO10" s="62">
        <v>2.75</v>
      </c>
      <c r="AP10" s="61">
        <v>4.49</v>
      </c>
      <c r="AQ10" s="57">
        <v>1.25</v>
      </c>
      <c r="AR10" s="62">
        <v>2.75</v>
      </c>
      <c r="AS10" s="67">
        <v>5.49</v>
      </c>
      <c r="AT10" s="68" t="s">
        <v>3</v>
      </c>
      <c r="AU10" s="66"/>
      <c r="AV10" s="73">
        <v>4</v>
      </c>
      <c r="AW10" s="68" t="s">
        <v>3</v>
      </c>
      <c r="AX10" s="66"/>
      <c r="AY10" s="68">
        <v>6</v>
      </c>
      <c r="AZ10" s="60">
        <v>2</v>
      </c>
      <c r="BA10" s="56">
        <v>2.4500000000000002</v>
      </c>
      <c r="BB10" s="62">
        <v>4.9000000000000004</v>
      </c>
      <c r="BC10" s="67">
        <v>4.9000000000000004</v>
      </c>
      <c r="BD10" s="56">
        <v>0.4</v>
      </c>
      <c r="BE10" s="62">
        <v>0.4</v>
      </c>
      <c r="BF10" s="92">
        <v>0.45</v>
      </c>
      <c r="BG10" s="92">
        <v>0.45</v>
      </c>
      <c r="BH10" s="57">
        <v>0.55000000000000004</v>
      </c>
      <c r="BI10" s="65">
        <v>0.6</v>
      </c>
      <c r="BJ10" s="62">
        <v>0.75</v>
      </c>
      <c r="BK10" s="61">
        <v>0.85</v>
      </c>
      <c r="BL10" s="62">
        <v>0.85</v>
      </c>
      <c r="BM10" s="62">
        <v>0.85</v>
      </c>
      <c r="BN10" s="62">
        <v>0.9</v>
      </c>
      <c r="BO10" s="61">
        <v>0.9</v>
      </c>
      <c r="BP10" s="62">
        <v>0.5</v>
      </c>
      <c r="BQ10" s="62">
        <v>1</v>
      </c>
      <c r="BR10" s="58">
        <v>1</v>
      </c>
    </row>
    <row r="11" spans="1:70" x14ac:dyDescent="0.25">
      <c r="A11" t="s">
        <v>12</v>
      </c>
      <c r="B11" s="59">
        <v>0</v>
      </c>
      <c r="C11" s="59">
        <v>0</v>
      </c>
      <c r="D11" s="59">
        <v>0</v>
      </c>
      <c r="E11" s="59">
        <v>0</v>
      </c>
      <c r="F11" s="68">
        <v>0</v>
      </c>
      <c r="G11" s="59">
        <v>0</v>
      </c>
      <c r="H11" s="26">
        <v>0</v>
      </c>
      <c r="I11" s="25">
        <v>0</v>
      </c>
      <c r="J11" s="25">
        <v>0</v>
      </c>
      <c r="K11" s="26">
        <v>0</v>
      </c>
      <c r="L11" s="25">
        <v>2</v>
      </c>
      <c r="M11" s="25">
        <v>1</v>
      </c>
      <c r="N11" s="26">
        <v>0</v>
      </c>
      <c r="O11" s="25">
        <v>2</v>
      </c>
      <c r="P11" s="25">
        <v>1</v>
      </c>
      <c r="Q11" s="26">
        <v>0</v>
      </c>
      <c r="R11" s="68" t="s">
        <v>21</v>
      </c>
      <c r="S11" s="60"/>
      <c r="T11" s="72" t="s">
        <v>3</v>
      </c>
      <c r="U11" s="25"/>
      <c r="V11" s="68">
        <v>0</v>
      </c>
      <c r="W11" s="25">
        <v>0</v>
      </c>
      <c r="X11" s="26">
        <v>0</v>
      </c>
      <c r="Y11" s="24">
        <v>0</v>
      </c>
      <c r="Z11" s="25">
        <v>0</v>
      </c>
      <c r="AA11" s="25">
        <v>0</v>
      </c>
      <c r="AB11" s="24">
        <v>2</v>
      </c>
      <c r="AC11" s="25">
        <v>0</v>
      </c>
      <c r="AD11" s="25">
        <v>0</v>
      </c>
      <c r="AE11" s="80">
        <v>2</v>
      </c>
      <c r="AF11" s="59">
        <v>2</v>
      </c>
      <c r="AG11" s="60">
        <v>0</v>
      </c>
      <c r="AH11" s="56"/>
      <c r="AI11" s="62"/>
      <c r="AJ11" s="61"/>
      <c r="AK11" s="70"/>
      <c r="AL11" s="69"/>
      <c r="AM11" s="71"/>
      <c r="AN11" s="57">
        <v>1.65</v>
      </c>
      <c r="AO11" s="62">
        <v>2.95</v>
      </c>
      <c r="AP11" s="61">
        <v>5</v>
      </c>
      <c r="AQ11" s="57">
        <v>1.75</v>
      </c>
      <c r="AR11" s="62">
        <v>3</v>
      </c>
      <c r="AS11" s="67">
        <v>6</v>
      </c>
      <c r="AT11" s="68" t="s">
        <v>3</v>
      </c>
      <c r="AU11" s="66"/>
      <c r="AV11" s="73">
        <v>2</v>
      </c>
      <c r="AW11" s="68" t="s">
        <v>3</v>
      </c>
      <c r="AX11" s="66"/>
      <c r="AY11" s="68">
        <v>2</v>
      </c>
      <c r="AZ11" s="60">
        <v>0</v>
      </c>
      <c r="BA11" s="56">
        <v>2.85</v>
      </c>
      <c r="BB11" s="62">
        <v>0</v>
      </c>
      <c r="BC11" s="67">
        <v>5.25</v>
      </c>
      <c r="BD11" s="56">
        <v>0.4</v>
      </c>
      <c r="BE11" s="62">
        <v>0.4</v>
      </c>
      <c r="BF11" s="92">
        <v>0.45</v>
      </c>
      <c r="BG11" s="92">
        <v>0.45</v>
      </c>
      <c r="BH11" s="85">
        <v>0.6</v>
      </c>
      <c r="BI11" s="65">
        <v>0.6</v>
      </c>
      <c r="BJ11" s="62">
        <v>0.75</v>
      </c>
      <c r="BK11" s="61">
        <v>0.85</v>
      </c>
      <c r="BL11" s="62">
        <v>0.85</v>
      </c>
      <c r="BM11" s="62">
        <v>0.85</v>
      </c>
      <c r="BN11" s="62">
        <v>0.9</v>
      </c>
      <c r="BO11" s="61">
        <v>0.9</v>
      </c>
      <c r="BP11" s="62">
        <v>0.5</v>
      </c>
      <c r="BQ11" s="62">
        <v>1</v>
      </c>
      <c r="BR11" s="58">
        <v>1</v>
      </c>
    </row>
    <row r="12" spans="1:70" x14ac:dyDescent="0.25">
      <c r="A12" t="s">
        <v>13</v>
      </c>
      <c r="B12" s="59">
        <v>0</v>
      </c>
      <c r="C12" s="59">
        <v>0</v>
      </c>
      <c r="D12" s="59">
        <v>3</v>
      </c>
      <c r="E12" s="59">
        <v>5</v>
      </c>
      <c r="F12" s="68">
        <v>0</v>
      </c>
      <c r="G12" s="59">
        <v>0</v>
      </c>
      <c r="H12" s="26">
        <v>0</v>
      </c>
      <c r="I12" s="25">
        <v>0</v>
      </c>
      <c r="J12" s="25">
        <v>0</v>
      </c>
      <c r="K12" s="26">
        <v>0</v>
      </c>
      <c r="L12" s="25">
        <v>2</v>
      </c>
      <c r="M12" s="59">
        <v>2</v>
      </c>
      <c r="N12" s="26">
        <v>0</v>
      </c>
      <c r="O12" s="80">
        <v>2</v>
      </c>
      <c r="P12" s="59">
        <v>4</v>
      </c>
      <c r="Q12" s="76">
        <v>0</v>
      </c>
      <c r="R12" s="68" t="s">
        <v>21</v>
      </c>
      <c r="S12" s="60"/>
      <c r="T12" s="72" t="s">
        <v>3</v>
      </c>
      <c r="U12" s="25"/>
      <c r="V12" s="68">
        <v>0</v>
      </c>
      <c r="W12" s="25">
        <v>0</v>
      </c>
      <c r="X12" s="26">
        <v>0</v>
      </c>
      <c r="Y12" s="24">
        <v>0</v>
      </c>
      <c r="Z12" s="25">
        <v>0</v>
      </c>
      <c r="AA12" s="26">
        <v>0</v>
      </c>
      <c r="AB12" s="24">
        <v>1</v>
      </c>
      <c r="AC12" s="25">
        <v>1</v>
      </c>
      <c r="AD12" s="26">
        <v>0</v>
      </c>
      <c r="AE12" s="25">
        <v>2</v>
      </c>
      <c r="AF12" s="25">
        <v>2</v>
      </c>
      <c r="AG12" s="60">
        <v>0</v>
      </c>
      <c r="AH12" s="86">
        <v>1.65</v>
      </c>
      <c r="AI12" s="87">
        <v>4.1900000000000004</v>
      </c>
      <c r="AJ12" s="88">
        <v>7</v>
      </c>
      <c r="AK12" s="57">
        <v>1.55</v>
      </c>
      <c r="AL12" s="92">
        <v>3.25</v>
      </c>
      <c r="AM12" s="61">
        <v>5.5</v>
      </c>
      <c r="AN12" s="57">
        <v>1.85</v>
      </c>
      <c r="AO12" s="62">
        <v>3.25</v>
      </c>
      <c r="AP12" s="61">
        <v>5</v>
      </c>
      <c r="AQ12" s="64">
        <v>1.85</v>
      </c>
      <c r="AR12" s="62">
        <v>3</v>
      </c>
      <c r="AS12" s="67">
        <v>6.5</v>
      </c>
      <c r="AT12" s="68" t="s">
        <v>3</v>
      </c>
      <c r="AU12" s="66"/>
      <c r="AV12" s="73">
        <v>2</v>
      </c>
      <c r="AW12" s="68" t="s">
        <v>3</v>
      </c>
      <c r="AX12" s="66"/>
      <c r="AY12" s="68">
        <v>2</v>
      </c>
      <c r="AZ12" s="60">
        <v>0</v>
      </c>
      <c r="BA12" s="56">
        <v>3</v>
      </c>
      <c r="BB12" s="62">
        <v>6</v>
      </c>
      <c r="BC12" s="67">
        <v>5.5</v>
      </c>
      <c r="BD12" s="56">
        <v>0.4</v>
      </c>
      <c r="BE12" s="62">
        <v>0.4</v>
      </c>
      <c r="BF12" s="92">
        <v>0.45</v>
      </c>
      <c r="BG12" s="92">
        <v>0.45</v>
      </c>
      <c r="BH12" s="85">
        <v>0.6</v>
      </c>
      <c r="BI12" s="65">
        <v>0.65</v>
      </c>
      <c r="BJ12" s="62">
        <v>0.85</v>
      </c>
      <c r="BK12" s="61">
        <v>0.95</v>
      </c>
      <c r="BL12" s="62">
        <v>0.95</v>
      </c>
      <c r="BM12" s="62">
        <v>0.95</v>
      </c>
      <c r="BN12" s="62">
        <v>1</v>
      </c>
      <c r="BO12" s="61">
        <v>1</v>
      </c>
      <c r="BP12" s="62">
        <v>0.65</v>
      </c>
      <c r="BQ12" s="62">
        <v>1.25</v>
      </c>
      <c r="BR12" s="58">
        <v>1.25</v>
      </c>
    </row>
    <row r="13" spans="1:70" x14ac:dyDescent="0.25">
      <c r="A13" t="s">
        <v>14</v>
      </c>
      <c r="B13" s="59">
        <v>5</v>
      </c>
      <c r="C13" s="59">
        <v>17</v>
      </c>
      <c r="D13" s="59">
        <v>20</v>
      </c>
      <c r="E13" s="59">
        <v>25</v>
      </c>
      <c r="F13" s="68">
        <v>0</v>
      </c>
      <c r="G13" s="59">
        <v>3</v>
      </c>
      <c r="H13" s="26">
        <v>1</v>
      </c>
      <c r="I13" s="25">
        <v>6</v>
      </c>
      <c r="J13" s="25">
        <v>8</v>
      </c>
      <c r="K13" s="26">
        <v>3</v>
      </c>
      <c r="L13" s="25">
        <v>6</v>
      </c>
      <c r="M13" s="59">
        <v>11</v>
      </c>
      <c r="N13" s="26">
        <v>3</v>
      </c>
      <c r="O13" s="80">
        <v>6</v>
      </c>
      <c r="P13" s="25">
        <v>10</v>
      </c>
      <c r="Q13" s="60">
        <v>6</v>
      </c>
      <c r="R13" s="68" t="s">
        <v>21</v>
      </c>
      <c r="S13" s="60"/>
      <c r="T13" s="72" t="s">
        <v>3</v>
      </c>
      <c r="U13" s="25"/>
      <c r="V13" s="68">
        <v>4</v>
      </c>
      <c r="W13" s="25">
        <v>4</v>
      </c>
      <c r="X13" s="26">
        <v>2</v>
      </c>
      <c r="Y13" s="24">
        <v>4</v>
      </c>
      <c r="Z13" s="25">
        <v>3</v>
      </c>
      <c r="AA13" s="26">
        <v>2</v>
      </c>
      <c r="AB13" s="24">
        <v>4</v>
      </c>
      <c r="AC13" s="25">
        <v>3</v>
      </c>
      <c r="AD13" s="26">
        <v>2</v>
      </c>
      <c r="AE13" s="25">
        <v>4</v>
      </c>
      <c r="AF13" s="25">
        <v>5</v>
      </c>
      <c r="AG13" s="60">
        <v>4</v>
      </c>
      <c r="AH13" s="56">
        <v>1.35</v>
      </c>
      <c r="AI13" s="62">
        <v>3.65</v>
      </c>
      <c r="AJ13" s="61">
        <v>6.49</v>
      </c>
      <c r="AK13" s="85">
        <v>1.35</v>
      </c>
      <c r="AL13" s="62">
        <v>2.5499999999999998</v>
      </c>
      <c r="AM13" s="61">
        <v>4.5</v>
      </c>
      <c r="AN13" s="57">
        <v>1.35</v>
      </c>
      <c r="AO13" s="62">
        <v>2.69</v>
      </c>
      <c r="AP13" s="61">
        <v>4.79</v>
      </c>
      <c r="AQ13" s="64">
        <v>1.6</v>
      </c>
      <c r="AR13" s="62">
        <v>2.8</v>
      </c>
      <c r="AS13" s="67">
        <v>5.49</v>
      </c>
      <c r="AT13" s="68" t="s">
        <v>3</v>
      </c>
      <c r="AU13" s="66"/>
      <c r="AV13" s="73">
        <v>6</v>
      </c>
      <c r="AW13" s="68" t="s">
        <v>3</v>
      </c>
      <c r="AX13" s="66"/>
      <c r="AY13" s="68">
        <v>5</v>
      </c>
      <c r="AZ13" s="60">
        <v>3</v>
      </c>
      <c r="BA13" s="56">
        <v>2.65</v>
      </c>
      <c r="BB13" s="62">
        <v>5</v>
      </c>
      <c r="BC13" s="67">
        <v>4.9000000000000004</v>
      </c>
      <c r="BD13" s="56">
        <v>0.4</v>
      </c>
      <c r="BE13" s="62">
        <v>0.4</v>
      </c>
      <c r="BF13" s="92">
        <v>0.45</v>
      </c>
      <c r="BG13" s="92">
        <v>0.45</v>
      </c>
      <c r="BH13" s="85">
        <v>0.6</v>
      </c>
      <c r="BI13" s="65">
        <v>0.6</v>
      </c>
      <c r="BJ13" s="62">
        <v>0.75</v>
      </c>
      <c r="BK13" s="61">
        <v>0.75</v>
      </c>
      <c r="BL13" s="62">
        <v>0.8</v>
      </c>
      <c r="BM13" s="62">
        <v>0.8</v>
      </c>
      <c r="BN13" s="62">
        <v>0.85</v>
      </c>
      <c r="BO13" s="61">
        <v>0.9</v>
      </c>
      <c r="BP13" s="62">
        <v>0.5</v>
      </c>
      <c r="BQ13" s="62">
        <v>1</v>
      </c>
      <c r="BR13" s="58">
        <v>1</v>
      </c>
    </row>
    <row r="14" spans="1:70" ht="15.75" thickBot="1" x14ac:dyDescent="0.3">
      <c r="A14" s="12" t="s">
        <v>15</v>
      </c>
      <c r="B14" s="59">
        <v>5</v>
      </c>
      <c r="C14" s="59">
        <v>10</v>
      </c>
      <c r="D14" s="59">
        <v>12</v>
      </c>
      <c r="E14" s="59">
        <v>20</v>
      </c>
      <c r="F14" s="68">
        <v>0</v>
      </c>
      <c r="G14" s="59">
        <v>3</v>
      </c>
      <c r="H14" s="26">
        <v>1</v>
      </c>
      <c r="I14" s="59">
        <v>4</v>
      </c>
      <c r="J14" s="59">
        <v>4</v>
      </c>
      <c r="K14" s="59">
        <v>2</v>
      </c>
      <c r="L14" s="82">
        <v>4</v>
      </c>
      <c r="M14" s="28">
        <v>4</v>
      </c>
      <c r="N14" s="18">
        <v>3</v>
      </c>
      <c r="O14" s="30">
        <v>4</v>
      </c>
      <c r="P14" s="28">
        <v>8</v>
      </c>
      <c r="Q14" s="36">
        <v>5</v>
      </c>
      <c r="R14" s="68" t="s">
        <v>21</v>
      </c>
      <c r="S14" s="60"/>
      <c r="T14" s="72" t="s">
        <v>3</v>
      </c>
      <c r="U14" s="25"/>
      <c r="V14" s="68">
        <v>4</v>
      </c>
      <c r="W14" s="25">
        <v>4</v>
      </c>
      <c r="X14" s="26">
        <v>2</v>
      </c>
      <c r="Y14" s="19">
        <v>2</v>
      </c>
      <c r="Z14" s="28">
        <v>2</v>
      </c>
      <c r="AA14" s="18">
        <v>1</v>
      </c>
      <c r="AB14" s="19">
        <v>2</v>
      </c>
      <c r="AC14" s="28">
        <v>3</v>
      </c>
      <c r="AD14" s="18">
        <v>1</v>
      </c>
      <c r="AE14" s="28">
        <v>4</v>
      </c>
      <c r="AF14" s="28">
        <v>3</v>
      </c>
      <c r="AG14" s="20">
        <v>2</v>
      </c>
      <c r="AH14" s="56">
        <v>1.45</v>
      </c>
      <c r="AI14" s="62">
        <v>3.55</v>
      </c>
      <c r="AJ14" s="61">
        <v>6.49</v>
      </c>
      <c r="AK14" s="57">
        <v>1.45</v>
      </c>
      <c r="AL14" s="87">
        <v>2.4900000000000002</v>
      </c>
      <c r="AM14" s="61">
        <v>4.5</v>
      </c>
      <c r="AN14" s="85">
        <v>1.45</v>
      </c>
      <c r="AO14" s="62">
        <v>2.75</v>
      </c>
      <c r="AP14" s="61">
        <v>4.79</v>
      </c>
      <c r="AQ14" s="96">
        <v>1.75</v>
      </c>
      <c r="AR14" s="101">
        <v>2.75</v>
      </c>
      <c r="AS14" s="102">
        <v>6.39</v>
      </c>
      <c r="AT14" s="68" t="s">
        <v>3</v>
      </c>
      <c r="AU14" s="66"/>
      <c r="AV14" s="103">
        <v>5</v>
      </c>
      <c r="AW14" s="68" t="s">
        <v>3</v>
      </c>
      <c r="AX14" s="66"/>
      <c r="AY14" s="51">
        <v>4</v>
      </c>
      <c r="AZ14" s="104">
        <v>2</v>
      </c>
      <c r="BA14" s="108">
        <v>2.5</v>
      </c>
      <c r="BB14" s="109">
        <v>5</v>
      </c>
      <c r="BC14" s="99">
        <v>4.9000000000000004</v>
      </c>
      <c r="BD14" s="110">
        <v>0.4</v>
      </c>
      <c r="BE14" s="109">
        <v>0.4</v>
      </c>
      <c r="BF14" s="109">
        <v>0.45</v>
      </c>
      <c r="BG14" s="111">
        <v>0.45</v>
      </c>
      <c r="BH14" s="117">
        <v>0.6</v>
      </c>
      <c r="BI14" s="101">
        <v>0.6</v>
      </c>
      <c r="BJ14" s="109">
        <v>0.75</v>
      </c>
      <c r="BK14" s="111">
        <v>0.75</v>
      </c>
      <c r="BL14" s="117">
        <v>0.8</v>
      </c>
      <c r="BM14" s="101">
        <v>0.8</v>
      </c>
      <c r="BN14" s="101">
        <v>0.85</v>
      </c>
      <c r="BO14" s="111">
        <v>0.9</v>
      </c>
      <c r="BP14" s="111">
        <v>0.5</v>
      </c>
      <c r="BQ14" s="111">
        <v>1</v>
      </c>
      <c r="BR14" s="119">
        <v>1</v>
      </c>
    </row>
    <row r="15" spans="1:70" ht="15.75" thickTop="1" x14ac:dyDescent="0.25">
      <c r="A15" s="6" t="s">
        <v>16</v>
      </c>
      <c r="B15" s="77">
        <f t="shared" ref="B15:Q15" si="0">SUM(B4:B14)</f>
        <v>37</v>
      </c>
      <c r="C15" s="77">
        <f t="shared" si="0"/>
        <v>89</v>
      </c>
      <c r="D15" s="77">
        <f t="shared" si="0"/>
        <v>119</v>
      </c>
      <c r="E15" s="78">
        <f t="shared" si="0"/>
        <v>120</v>
      </c>
      <c r="F15" s="77">
        <f t="shared" si="0"/>
        <v>9</v>
      </c>
      <c r="G15" s="77">
        <f t="shared" si="0"/>
        <v>19</v>
      </c>
      <c r="H15" s="79">
        <f t="shared" si="0"/>
        <v>8</v>
      </c>
      <c r="I15" s="77">
        <f t="shared" si="0"/>
        <v>31</v>
      </c>
      <c r="J15" s="77">
        <f t="shared" si="0"/>
        <v>39</v>
      </c>
      <c r="K15" s="79">
        <f t="shared" si="0"/>
        <v>18</v>
      </c>
      <c r="L15" s="77">
        <f t="shared" si="0"/>
        <v>37</v>
      </c>
      <c r="M15" s="77">
        <f t="shared" si="0"/>
        <v>50</v>
      </c>
      <c r="N15" s="79">
        <f t="shared" si="0"/>
        <v>25</v>
      </c>
      <c r="O15" s="77">
        <f t="shared" si="0"/>
        <v>43</v>
      </c>
      <c r="P15" s="77">
        <f t="shared" si="0"/>
        <v>51</v>
      </c>
      <c r="Q15" s="79">
        <f t="shared" si="0"/>
        <v>27</v>
      </c>
      <c r="R15" s="83" t="s">
        <v>44</v>
      </c>
      <c r="S15" s="78"/>
      <c r="T15" s="83" t="s">
        <v>44</v>
      </c>
      <c r="U15" s="78"/>
      <c r="V15" s="83">
        <f t="shared" ref="V15:AG15" si="1">SUM(V4:V14)</f>
        <v>27</v>
      </c>
      <c r="W15" s="77">
        <f t="shared" si="1"/>
        <v>27</v>
      </c>
      <c r="X15" s="77">
        <f t="shared" si="1"/>
        <v>14</v>
      </c>
      <c r="Y15" s="84">
        <f t="shared" si="1"/>
        <v>25</v>
      </c>
      <c r="Z15" s="77">
        <f t="shared" si="1"/>
        <v>25</v>
      </c>
      <c r="AA15" s="79">
        <f t="shared" si="1"/>
        <v>14</v>
      </c>
      <c r="AB15" s="77">
        <f t="shared" si="1"/>
        <v>32</v>
      </c>
      <c r="AC15" s="77">
        <f t="shared" si="1"/>
        <v>27</v>
      </c>
      <c r="AD15" s="79">
        <f t="shared" si="1"/>
        <v>15</v>
      </c>
      <c r="AE15" s="77">
        <f t="shared" si="1"/>
        <v>33</v>
      </c>
      <c r="AF15" s="77">
        <f t="shared" si="1"/>
        <v>31</v>
      </c>
      <c r="AG15" s="77">
        <f t="shared" si="1"/>
        <v>20</v>
      </c>
      <c r="AH15" s="90">
        <f t="shared" ref="AH15:AM15" si="2">SUM(AH4:AH14)/10</f>
        <v>1.4289999999999998</v>
      </c>
      <c r="AI15" s="89">
        <f t="shared" si="2"/>
        <v>3.6579999999999999</v>
      </c>
      <c r="AJ15" s="89">
        <f t="shared" si="2"/>
        <v>6.3950000000000014</v>
      </c>
      <c r="AK15" s="91">
        <f t="shared" si="2"/>
        <v>1.3800000000000001</v>
      </c>
      <c r="AL15" s="89">
        <f t="shared" si="2"/>
        <v>2.7380000000000004</v>
      </c>
      <c r="AM15" s="94">
        <f t="shared" si="2"/>
        <v>4.7170000000000005</v>
      </c>
      <c r="AN15" s="91">
        <f t="shared" ref="AN15:AS15" si="3">SUM(AN4:AN14)/11</f>
        <v>1.4863636363636361</v>
      </c>
      <c r="AO15" s="89">
        <f t="shared" si="3"/>
        <v>2.8209090909090908</v>
      </c>
      <c r="AP15" s="89">
        <f t="shared" si="3"/>
        <v>4.7381818181818183</v>
      </c>
      <c r="AQ15" s="98">
        <f t="shared" si="3"/>
        <v>1.5499999999999998</v>
      </c>
      <c r="AR15" s="97">
        <f t="shared" si="3"/>
        <v>2.811818181818182</v>
      </c>
      <c r="AS15" s="100">
        <f t="shared" si="3"/>
        <v>5.9090909090909092</v>
      </c>
      <c r="AT15" s="77" t="s">
        <v>44</v>
      </c>
      <c r="AU15" s="78" t="s">
        <v>45</v>
      </c>
      <c r="AV15" s="105">
        <f>SUM(AV4:AV14)</f>
        <v>58</v>
      </c>
      <c r="AW15" s="77" t="s">
        <v>44</v>
      </c>
      <c r="AX15" s="78" t="s">
        <v>45</v>
      </c>
      <c r="AY15" s="83">
        <f>SUM(AY4:AY14)</f>
        <v>59</v>
      </c>
      <c r="AZ15" s="78">
        <f>SUM(AZ4:AZ14)</f>
        <v>25</v>
      </c>
      <c r="BA15" s="90">
        <f>SUM(BA4:BA14)/11</f>
        <v>2.6181818181818182</v>
      </c>
      <c r="BB15" s="97">
        <f>SUM(BB4:BB14)/10</f>
        <v>5.0649999999999995</v>
      </c>
      <c r="BC15" s="112">
        <f t="shared" ref="BC15:BR15" si="4">SUM(BC4:BC14)/11</f>
        <v>5.0999999999999996</v>
      </c>
      <c r="BD15" s="106">
        <f t="shared" si="4"/>
        <v>0.38636363636363635</v>
      </c>
      <c r="BE15" s="97">
        <f t="shared" si="4"/>
        <v>0.38636363636363635</v>
      </c>
      <c r="BF15" s="97">
        <f t="shared" si="4"/>
        <v>0.43181818181818188</v>
      </c>
      <c r="BG15" s="114">
        <f t="shared" si="4"/>
        <v>0.43181818181818188</v>
      </c>
      <c r="BH15" s="116">
        <f t="shared" si="4"/>
        <v>0.56818181818181801</v>
      </c>
      <c r="BI15" s="107">
        <f t="shared" si="4"/>
        <v>0.57727272727272727</v>
      </c>
      <c r="BJ15" s="97">
        <f t="shared" si="4"/>
        <v>0.72272727272727266</v>
      </c>
      <c r="BK15" s="113">
        <f t="shared" si="4"/>
        <v>0.76363636363636356</v>
      </c>
      <c r="BL15" s="116">
        <f t="shared" si="4"/>
        <v>0.78181818181818175</v>
      </c>
      <c r="BM15" s="107">
        <f t="shared" si="4"/>
        <v>0.79090909090909089</v>
      </c>
      <c r="BN15" s="107">
        <f t="shared" si="4"/>
        <v>0.85</v>
      </c>
      <c r="BO15" s="113">
        <f t="shared" si="4"/>
        <v>0.85909090909090924</v>
      </c>
      <c r="BP15" s="116">
        <f t="shared" si="4"/>
        <v>0.49545454545454548</v>
      </c>
      <c r="BQ15" s="113">
        <f t="shared" si="4"/>
        <v>0.95454545454545459</v>
      </c>
      <c r="BR15" s="118">
        <f t="shared" si="4"/>
        <v>0.98181818181818192</v>
      </c>
    </row>
    <row r="17" spans="1:70" x14ac:dyDescent="0.25">
      <c r="A17" t="s">
        <v>46</v>
      </c>
      <c r="F17" s="28">
        <v>4.5</v>
      </c>
      <c r="G17" s="28">
        <v>19</v>
      </c>
      <c r="H17" s="28">
        <v>16</v>
      </c>
      <c r="I17" s="28">
        <v>15.5</v>
      </c>
      <c r="J17" s="28">
        <v>39</v>
      </c>
      <c r="K17" s="28">
        <v>36</v>
      </c>
      <c r="L17" s="28">
        <v>18.5</v>
      </c>
      <c r="M17" s="28">
        <v>50</v>
      </c>
      <c r="N17" s="28">
        <v>50</v>
      </c>
      <c r="O17" s="28">
        <v>21.5</v>
      </c>
      <c r="P17" s="28">
        <v>51</v>
      </c>
      <c r="Q17" s="28">
        <v>54</v>
      </c>
      <c r="V17" s="28">
        <v>13.5</v>
      </c>
      <c r="W17" s="28">
        <v>27</v>
      </c>
      <c r="X17" s="28">
        <v>28</v>
      </c>
      <c r="Y17" s="28">
        <v>12.5</v>
      </c>
      <c r="Z17" s="28">
        <v>25</v>
      </c>
      <c r="AA17" s="28">
        <v>28</v>
      </c>
      <c r="AB17" s="28">
        <v>16</v>
      </c>
      <c r="AC17" s="28">
        <v>27</v>
      </c>
      <c r="AD17" s="28">
        <v>30</v>
      </c>
      <c r="AE17" s="28">
        <v>16.5</v>
      </c>
      <c r="AF17" s="28">
        <v>31</v>
      </c>
      <c r="AG17" s="28">
        <v>40</v>
      </c>
      <c r="AH17" s="95">
        <v>2.86</v>
      </c>
      <c r="AI17" s="95">
        <v>3.66</v>
      </c>
      <c r="AJ17" s="95">
        <v>3.2</v>
      </c>
      <c r="AK17" s="95">
        <v>2.76</v>
      </c>
      <c r="AL17" s="95">
        <v>2.74</v>
      </c>
      <c r="AM17" s="95">
        <v>2.36</v>
      </c>
      <c r="AN17" s="95">
        <v>2.98</v>
      </c>
      <c r="AO17" s="95">
        <v>2.82</v>
      </c>
      <c r="AP17" s="95">
        <v>2.37</v>
      </c>
      <c r="AQ17" s="95">
        <v>3.1</v>
      </c>
      <c r="AR17" s="95">
        <v>2.81</v>
      </c>
      <c r="AS17" s="95">
        <v>2.96</v>
      </c>
      <c r="AV17" t="s">
        <v>48</v>
      </c>
      <c r="AY17" s="28">
        <v>29.5</v>
      </c>
      <c r="AZ17" s="28">
        <v>25</v>
      </c>
      <c r="BA17" s="95">
        <v>5.24</v>
      </c>
      <c r="BB17" s="95">
        <v>5.07</v>
      </c>
      <c r="BC17" s="95">
        <v>6.21</v>
      </c>
      <c r="BD17" s="95">
        <v>0.78</v>
      </c>
      <c r="BE17" s="95">
        <v>0.78</v>
      </c>
      <c r="BF17" s="95">
        <v>0.86</v>
      </c>
      <c r="BG17" s="95">
        <v>0.86</v>
      </c>
      <c r="BH17" s="95">
        <v>0.56999999999999995</v>
      </c>
      <c r="BI17" s="95">
        <v>0.57999999999999996</v>
      </c>
      <c r="BJ17" s="95">
        <v>0.72</v>
      </c>
      <c r="BK17" s="95">
        <v>0.76</v>
      </c>
      <c r="BL17" s="95">
        <v>0.41</v>
      </c>
      <c r="BM17" s="95">
        <v>0.42</v>
      </c>
      <c r="BN17" s="95">
        <v>0.45</v>
      </c>
      <c r="BO17" s="95">
        <v>0.46</v>
      </c>
      <c r="BP17" s="95">
        <v>1</v>
      </c>
      <c r="BQ17" s="95">
        <v>0.95</v>
      </c>
      <c r="BR17" s="95">
        <v>0.98</v>
      </c>
    </row>
    <row r="18" spans="1:70" x14ac:dyDescent="0.25">
      <c r="A18" t="s">
        <v>113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V18" s="142">
        <f>V15*500</f>
        <v>13500</v>
      </c>
      <c r="W18" s="142">
        <f>W15*1000</f>
        <v>27000</v>
      </c>
      <c r="X18" s="142">
        <f>X15*2000</f>
        <v>28000</v>
      </c>
      <c r="Y18" s="142">
        <f>Y15*500</f>
        <v>12500</v>
      </c>
      <c r="Z18" s="142">
        <f>Z15*1000</f>
        <v>25000</v>
      </c>
      <c r="AA18" s="142">
        <f>AA15*2000</f>
        <v>28000</v>
      </c>
      <c r="AB18" s="142">
        <f>AB15*500</f>
        <v>16000</v>
      </c>
      <c r="AC18" s="142">
        <f>AC15*1000</f>
        <v>27000</v>
      </c>
      <c r="AD18" s="142">
        <f>AD15*2000</f>
        <v>30000</v>
      </c>
      <c r="AE18" s="142">
        <f>AE15*500</f>
        <v>16500</v>
      </c>
      <c r="AF18" s="142">
        <f>AF15*1000</f>
        <v>31000</v>
      </c>
      <c r="AG18" s="142">
        <f>AG15*2000</f>
        <v>40000</v>
      </c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Y18" s="143">
        <f>AY15*500</f>
        <v>29500</v>
      </c>
      <c r="AZ18" s="143">
        <f>AZ15*1000</f>
        <v>25000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</row>
    <row r="19" spans="1:70" x14ac:dyDescent="0.25">
      <c r="A19" t="s">
        <v>114</v>
      </c>
      <c r="H19">
        <f>SUM(F17:H17)</f>
        <v>39.5</v>
      </c>
      <c r="K19">
        <f>SUM(I17:K17)</f>
        <v>90.5</v>
      </c>
      <c r="N19">
        <f>SUM(L17:N17)</f>
        <v>118.5</v>
      </c>
      <c r="Q19">
        <f>SUM(O17:Q17)</f>
        <v>126.5</v>
      </c>
      <c r="X19">
        <f>SUM(V17:X17)</f>
        <v>68.5</v>
      </c>
      <c r="AA19">
        <f>SUM(Y17:AA17)</f>
        <v>65.5</v>
      </c>
      <c r="AD19">
        <f>SUM(AB17:AD17)</f>
        <v>73</v>
      </c>
      <c r="AG19">
        <f>SUM(AE17:AG17)</f>
        <v>87.5</v>
      </c>
      <c r="AZ19">
        <f>SUM(AY17:AZ17)</f>
        <v>54.5</v>
      </c>
      <c r="BA19" t="s">
        <v>49</v>
      </c>
    </row>
    <row r="20" spans="1:70" x14ac:dyDescent="0.25">
      <c r="A20" t="s">
        <v>47</v>
      </c>
      <c r="E20">
        <f>SUM(B15:E15)</f>
        <v>365</v>
      </c>
      <c r="Q20">
        <f>SUM(H19:Q19)</f>
        <v>375</v>
      </c>
      <c r="AG20">
        <f>SUM(X19:AG19)</f>
        <v>294.5</v>
      </c>
      <c r="AJ20" s="120"/>
      <c r="AV20" t="s">
        <v>59</v>
      </c>
      <c r="BA20" t="s">
        <v>50</v>
      </c>
    </row>
    <row r="21" spans="1:70" x14ac:dyDescent="0.25">
      <c r="A21" t="s">
        <v>52</v>
      </c>
      <c r="G21" t="s">
        <v>55</v>
      </c>
      <c r="H21">
        <f>H19/Q20</f>
        <v>0.10533333333333333</v>
      </c>
      <c r="K21">
        <f>K19/Q20</f>
        <v>0.24133333333333334</v>
      </c>
      <c r="N21">
        <f>N19/Q20</f>
        <v>0.316</v>
      </c>
      <c r="Q21">
        <f>Q19/Q20</f>
        <v>0.33733333333333332</v>
      </c>
      <c r="AJ21" s="120">
        <f>AVERAGE(AH17:AJ17)</f>
        <v>3.2399999999999998</v>
      </c>
      <c r="AM21" s="120">
        <f>AVERAGE(AK17:AM17)</f>
        <v>2.6199999999999997</v>
      </c>
      <c r="AP21" s="120">
        <f>AVERAGE(AN17:AP17)</f>
        <v>2.7233333333333332</v>
      </c>
      <c r="AS21" s="120">
        <f>AVERAGE(AQ17:AS17)</f>
        <v>2.956666666666667</v>
      </c>
      <c r="BA21" t="s">
        <v>51</v>
      </c>
      <c r="BH21" s="120">
        <f>AVERAGE(BD17,BH17,BL17)</f>
        <v>0.58666666666666667</v>
      </c>
      <c r="BI21" s="120">
        <f>AVERAGE(BE17,BI17,BM17)</f>
        <v>0.59333333333333327</v>
      </c>
      <c r="BJ21" s="120">
        <f>AVERAGE(BF17,BJ17,BN17)</f>
        <v>0.67666666666666675</v>
      </c>
      <c r="BK21" s="120">
        <f>AVERAGE(BG17,BK17,BO17)</f>
        <v>0.69333333333333336</v>
      </c>
    </row>
    <row r="22" spans="1:70" x14ac:dyDescent="0.25">
      <c r="A22" t="s">
        <v>53</v>
      </c>
      <c r="AJ22">
        <v>0.59</v>
      </c>
      <c r="AM22">
        <v>0.59</v>
      </c>
      <c r="AP22">
        <v>0.68</v>
      </c>
      <c r="AS22">
        <v>0.69</v>
      </c>
    </row>
    <row r="23" spans="1:70" x14ac:dyDescent="0.25">
      <c r="A23" t="s">
        <v>54</v>
      </c>
      <c r="AJ23" s="120">
        <f>(AJ21-AJ22)</f>
        <v>2.65</v>
      </c>
      <c r="AM23" s="120">
        <f>(AM21-AM22)</f>
        <v>2.0299999999999998</v>
      </c>
      <c r="AP23" s="120">
        <f>(AP21-AP22)</f>
        <v>2.043333333333333</v>
      </c>
      <c r="AS23" s="120">
        <f>(AS21-AS22)</f>
        <v>2.2666666666666671</v>
      </c>
    </row>
    <row r="26" spans="1:70" x14ac:dyDescent="0.25">
      <c r="A26" t="s">
        <v>56</v>
      </c>
      <c r="B26">
        <v>205</v>
      </c>
      <c r="C26" t="s">
        <v>55</v>
      </c>
      <c r="D26">
        <f>B26/B28</f>
        <v>0.41082164328657317</v>
      </c>
    </row>
    <row r="27" spans="1:70" x14ac:dyDescent="0.25">
      <c r="A27" t="s">
        <v>57</v>
      </c>
      <c r="B27">
        <v>294</v>
      </c>
      <c r="C27" t="s">
        <v>55</v>
      </c>
      <c r="D27">
        <f>SUM(B27/B28)</f>
        <v>0.58917835671342689</v>
      </c>
    </row>
    <row r="28" spans="1:70" x14ac:dyDescent="0.25">
      <c r="A28" t="s">
        <v>58</v>
      </c>
      <c r="B28">
        <f>SUM(B26:B27)</f>
        <v>499</v>
      </c>
      <c r="C28" t="s">
        <v>55</v>
      </c>
      <c r="D28">
        <f>SUM(D26:D27)</f>
        <v>1</v>
      </c>
    </row>
    <row r="35" spans="51:51" x14ac:dyDescent="0.25">
      <c r="AY35" t="s">
        <v>37</v>
      </c>
    </row>
  </sheetData>
  <mergeCells count="28">
    <mergeCell ref="B1:E2"/>
    <mergeCell ref="AB2:AD2"/>
    <mergeCell ref="BH2:BK2"/>
    <mergeCell ref="BL2:BO2"/>
    <mergeCell ref="AH1:AS1"/>
    <mergeCell ref="AT1:AU2"/>
    <mergeCell ref="AH2:AJ2"/>
    <mergeCell ref="F1:Q1"/>
    <mergeCell ref="T1:U2"/>
    <mergeCell ref="V2:X2"/>
    <mergeCell ref="L2:N2"/>
    <mergeCell ref="O2:Q2"/>
    <mergeCell ref="AV1:AV3"/>
    <mergeCell ref="AW1:AX2"/>
    <mergeCell ref="AK2:AM2"/>
    <mergeCell ref="AN2:AP2"/>
    <mergeCell ref="AE2:AG2"/>
    <mergeCell ref="V1:AG1"/>
    <mergeCell ref="F2:H2"/>
    <mergeCell ref="I2:K2"/>
    <mergeCell ref="BP2:BQ2"/>
    <mergeCell ref="BD1:BR1"/>
    <mergeCell ref="AY1:AZ2"/>
    <mergeCell ref="AQ2:AS2"/>
    <mergeCell ref="BA1:BC2"/>
    <mergeCell ref="BD2:BG2"/>
    <mergeCell ref="Y2:AA2"/>
    <mergeCell ref="R1:S2"/>
  </mergeCells>
  <phoneticPr fontId="5" type="noConversion"/>
  <pageMargins left="0.7" right="0.7" top="0.75" bottom="0.75" header="0.3" footer="0.3"/>
  <ignoredErrors>
    <ignoredError sqref="B15:D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topLeftCell="C1" workbookViewId="0">
      <selection activeCell="D250" sqref="D250"/>
    </sheetView>
  </sheetViews>
  <sheetFormatPr defaultColWidth="11.42578125" defaultRowHeight="15" x14ac:dyDescent="0.25"/>
  <sheetData>
    <row r="1" spans="1:15" x14ac:dyDescent="0.25">
      <c r="A1" t="s">
        <v>158</v>
      </c>
    </row>
    <row r="3" spans="1:15" x14ac:dyDescent="0.25">
      <c r="A3" t="s">
        <v>159</v>
      </c>
    </row>
    <row r="5" spans="1:15" x14ac:dyDescent="0.25">
      <c r="A5" t="s">
        <v>160</v>
      </c>
      <c r="B5" t="s">
        <v>161</v>
      </c>
      <c r="C5" t="s">
        <v>162</v>
      </c>
      <c r="G5" s="197" t="s">
        <v>85</v>
      </c>
      <c r="H5" s="150">
        <v>0.02</v>
      </c>
      <c r="I5" s="197" t="s">
        <v>89</v>
      </c>
      <c r="J5" s="150">
        <v>0.01</v>
      </c>
      <c r="K5" s="197" t="s">
        <v>17</v>
      </c>
      <c r="L5" s="198" t="s">
        <v>0</v>
      </c>
      <c r="M5" s="197" t="s">
        <v>28</v>
      </c>
      <c r="O5">
        <f>8.87/0.8</f>
        <v>11.087499999999999</v>
      </c>
    </row>
    <row r="6" spans="1:15" x14ac:dyDescent="0.25">
      <c r="A6" t="s">
        <v>163</v>
      </c>
      <c r="B6" t="s">
        <v>164</v>
      </c>
      <c r="C6">
        <v>17</v>
      </c>
      <c r="D6" s="197" t="s">
        <v>90</v>
      </c>
      <c r="G6">
        <v>75</v>
      </c>
      <c r="H6">
        <v>75</v>
      </c>
      <c r="I6">
        <v>75</v>
      </c>
      <c r="J6">
        <v>75</v>
      </c>
      <c r="K6">
        <v>75</v>
      </c>
      <c r="L6">
        <v>75</v>
      </c>
      <c r="M6">
        <v>75</v>
      </c>
    </row>
    <row r="7" spans="1:15" x14ac:dyDescent="0.25">
      <c r="A7" t="s">
        <v>165</v>
      </c>
      <c r="B7" t="s">
        <v>166</v>
      </c>
      <c r="C7">
        <v>15</v>
      </c>
      <c r="D7" s="197" t="s">
        <v>91</v>
      </c>
      <c r="G7">
        <f>G6*D41*B18*I33</f>
        <v>38149.799999999996</v>
      </c>
      <c r="H7">
        <f>$H$6*$B$80*$E$102*N116</f>
        <v>13671.452307692307</v>
      </c>
      <c r="I7">
        <f>$H$6*$B$80*$E$102*N115</f>
        <v>5859.1938461538457</v>
      </c>
      <c r="J7">
        <f>$H$6*$B$80*$E$102*N117</f>
        <v>30272.501538461536</v>
      </c>
      <c r="K7">
        <f>$H$6*$B$80*$E$102*N118</f>
        <v>11718.387692307691</v>
      </c>
      <c r="L7">
        <f>L6*B164*D186*H202</f>
        <v>9811.2704287499982</v>
      </c>
      <c r="M7">
        <f>I7/O5</f>
        <v>528.45040326077537</v>
      </c>
    </row>
    <row r="8" spans="1:15" x14ac:dyDescent="0.25">
      <c r="A8" t="s">
        <v>167</v>
      </c>
      <c r="B8" t="s">
        <v>168</v>
      </c>
      <c r="C8">
        <v>23</v>
      </c>
      <c r="L8">
        <f>L7/454</f>
        <v>21.610727816629954</v>
      </c>
    </row>
    <row r="9" spans="1:15" x14ac:dyDescent="0.25">
      <c r="A9" t="s">
        <v>169</v>
      </c>
      <c r="B9" t="s">
        <v>170</v>
      </c>
      <c r="C9">
        <v>24</v>
      </c>
    </row>
    <row r="10" spans="1:15" x14ac:dyDescent="0.25">
      <c r="B10" t="s">
        <v>171</v>
      </c>
      <c r="C10">
        <v>79</v>
      </c>
    </row>
    <row r="11" spans="1:15" x14ac:dyDescent="0.25">
      <c r="B11" t="s">
        <v>172</v>
      </c>
      <c r="C11">
        <v>0</v>
      </c>
    </row>
    <row r="15" spans="1:15" x14ac:dyDescent="0.25">
      <c r="A15" t="s">
        <v>173</v>
      </c>
    </row>
    <row r="17" spans="1:5" x14ac:dyDescent="0.25">
      <c r="A17" t="s">
        <v>160</v>
      </c>
      <c r="B17" t="s">
        <v>161</v>
      </c>
      <c r="C17" t="s">
        <v>162</v>
      </c>
    </row>
    <row r="18" spans="1:5" x14ac:dyDescent="0.25">
      <c r="A18" t="s">
        <v>3</v>
      </c>
      <c r="B18" t="s">
        <v>174</v>
      </c>
      <c r="C18">
        <v>74</v>
      </c>
    </row>
    <row r="19" spans="1:5" x14ac:dyDescent="0.25">
      <c r="A19" t="s">
        <v>2</v>
      </c>
      <c r="B19" t="s">
        <v>175</v>
      </c>
      <c r="C19">
        <v>4</v>
      </c>
    </row>
    <row r="20" spans="1:5" x14ac:dyDescent="0.25">
      <c r="B20" t="s">
        <v>171</v>
      </c>
      <c r="C20">
        <v>78</v>
      </c>
    </row>
    <row r="21" spans="1:5" x14ac:dyDescent="0.25">
      <c r="B21" t="s">
        <v>172</v>
      </c>
      <c r="C21">
        <v>1</v>
      </c>
    </row>
    <row r="25" spans="1:5" x14ac:dyDescent="0.25">
      <c r="A25" t="s">
        <v>176</v>
      </c>
    </row>
    <row r="27" spans="1:5" x14ac:dyDescent="0.25">
      <c r="A27" t="s">
        <v>160</v>
      </c>
      <c r="B27" t="s">
        <v>161</v>
      </c>
      <c r="C27" t="s">
        <v>162</v>
      </c>
    </row>
    <row r="28" spans="1:5" x14ac:dyDescent="0.25">
      <c r="A28" t="s">
        <v>177</v>
      </c>
      <c r="B28" t="s">
        <v>178</v>
      </c>
      <c r="C28">
        <v>23</v>
      </c>
      <c r="D28">
        <v>500</v>
      </c>
      <c r="E28">
        <f>D28*B28</f>
        <v>166.5</v>
      </c>
    </row>
    <row r="29" spans="1:5" x14ac:dyDescent="0.25">
      <c r="A29" t="s">
        <v>179</v>
      </c>
      <c r="B29" t="s">
        <v>180</v>
      </c>
      <c r="C29">
        <v>25</v>
      </c>
      <c r="D29">
        <v>1000</v>
      </c>
      <c r="E29">
        <f>D29*B29</f>
        <v>362</v>
      </c>
    </row>
    <row r="30" spans="1:5" x14ac:dyDescent="0.25">
      <c r="A30" t="s">
        <v>181</v>
      </c>
      <c r="B30" t="s">
        <v>182</v>
      </c>
      <c r="C30">
        <v>9</v>
      </c>
      <c r="D30">
        <v>1500</v>
      </c>
      <c r="E30">
        <f>D30*B30</f>
        <v>195</v>
      </c>
    </row>
    <row r="31" spans="1:5" x14ac:dyDescent="0.25">
      <c r="A31" t="s">
        <v>183</v>
      </c>
      <c r="B31" t="s">
        <v>182</v>
      </c>
      <c r="C31">
        <v>9</v>
      </c>
      <c r="D31">
        <v>2000</v>
      </c>
      <c r="E31">
        <f>D31*B31</f>
        <v>260</v>
      </c>
    </row>
    <row r="32" spans="1:5" x14ac:dyDescent="0.25">
      <c r="A32" t="s">
        <v>184</v>
      </c>
      <c r="B32" t="s">
        <v>185</v>
      </c>
      <c r="C32">
        <v>3</v>
      </c>
      <c r="D32">
        <v>2500</v>
      </c>
      <c r="E32">
        <f>D32*B32</f>
        <v>107.49999999999999</v>
      </c>
    </row>
    <row r="33" spans="1:10" x14ac:dyDescent="0.25">
      <c r="B33" t="s">
        <v>171</v>
      </c>
      <c r="C33">
        <v>69</v>
      </c>
      <c r="E33">
        <f>SUM(E28:E32)</f>
        <v>1091</v>
      </c>
      <c r="F33" s="197" t="s">
        <v>186</v>
      </c>
      <c r="I33" s="1">
        <v>1000</v>
      </c>
      <c r="J33" s="1"/>
    </row>
    <row r="34" spans="1:10" x14ac:dyDescent="0.25">
      <c r="B34" t="s">
        <v>172</v>
      </c>
      <c r="C34">
        <v>10</v>
      </c>
    </row>
    <row r="38" spans="1:10" x14ac:dyDescent="0.25">
      <c r="A38" t="s">
        <v>187</v>
      </c>
    </row>
    <row r="40" spans="1:10" x14ac:dyDescent="0.25">
      <c r="A40" t="s">
        <v>160</v>
      </c>
      <c r="B40" t="s">
        <v>161</v>
      </c>
      <c r="C40" t="s">
        <v>162</v>
      </c>
    </row>
    <row r="41" spans="1:10" x14ac:dyDescent="0.25">
      <c r="A41" t="s">
        <v>188</v>
      </c>
      <c r="B41" t="s">
        <v>189</v>
      </c>
      <c r="C41">
        <v>15</v>
      </c>
      <c r="D41" s="135">
        <f>B41+B42</f>
        <v>0.53600000000000003</v>
      </c>
    </row>
    <row r="42" spans="1:10" x14ac:dyDescent="0.25">
      <c r="A42" t="s">
        <v>190</v>
      </c>
      <c r="B42" t="s">
        <v>191</v>
      </c>
      <c r="C42">
        <v>22</v>
      </c>
    </row>
    <row r="43" spans="1:10" x14ac:dyDescent="0.25">
      <c r="A43" t="s">
        <v>192</v>
      </c>
      <c r="B43" t="s">
        <v>193</v>
      </c>
      <c r="C43">
        <v>17</v>
      </c>
    </row>
    <row r="44" spans="1:10" x14ac:dyDescent="0.25">
      <c r="A44" t="s">
        <v>194</v>
      </c>
      <c r="B44" t="s">
        <v>195</v>
      </c>
      <c r="C44">
        <v>14</v>
      </c>
    </row>
    <row r="45" spans="1:10" x14ac:dyDescent="0.25">
      <c r="A45" t="s">
        <v>196</v>
      </c>
      <c r="B45" t="s">
        <v>197</v>
      </c>
      <c r="C45">
        <v>1</v>
      </c>
    </row>
    <row r="46" spans="1:10" x14ac:dyDescent="0.25">
      <c r="B46" t="s">
        <v>171</v>
      </c>
      <c r="C46">
        <v>69</v>
      </c>
    </row>
    <row r="47" spans="1:10" x14ac:dyDescent="0.25">
      <c r="B47" t="s">
        <v>172</v>
      </c>
      <c r="C47">
        <v>10</v>
      </c>
    </row>
    <row r="51" spans="1:3" x14ac:dyDescent="0.25">
      <c r="A51" t="s">
        <v>198</v>
      </c>
    </row>
    <row r="53" spans="1:3" x14ac:dyDescent="0.25">
      <c r="A53" t="s">
        <v>160</v>
      </c>
      <c r="B53" t="s">
        <v>161</v>
      </c>
      <c r="C53" t="s">
        <v>162</v>
      </c>
    </row>
    <row r="54" spans="1:3" x14ac:dyDescent="0.25">
      <c r="A54" t="s">
        <v>18</v>
      </c>
      <c r="B54" t="s">
        <v>199</v>
      </c>
      <c r="C54">
        <v>14</v>
      </c>
    </row>
    <row r="55" spans="1:3" x14ac:dyDescent="0.25">
      <c r="A55" t="s">
        <v>179</v>
      </c>
      <c r="B55" t="s">
        <v>199</v>
      </c>
      <c r="C55">
        <v>14</v>
      </c>
    </row>
    <row r="56" spans="1:3" x14ac:dyDescent="0.25">
      <c r="A56" t="s">
        <v>181</v>
      </c>
      <c r="B56" t="s">
        <v>200</v>
      </c>
      <c r="C56">
        <v>4</v>
      </c>
    </row>
    <row r="57" spans="1:3" x14ac:dyDescent="0.25">
      <c r="A57" t="s">
        <v>183</v>
      </c>
      <c r="B57" t="s">
        <v>201</v>
      </c>
      <c r="C57">
        <v>6</v>
      </c>
    </row>
    <row r="58" spans="1:3" x14ac:dyDescent="0.25">
      <c r="A58" t="s">
        <v>184</v>
      </c>
      <c r="B58" t="s">
        <v>202</v>
      </c>
      <c r="C58">
        <v>0</v>
      </c>
    </row>
    <row r="59" spans="1:3" x14ac:dyDescent="0.25">
      <c r="B59" t="s">
        <v>171</v>
      </c>
      <c r="C59">
        <v>38</v>
      </c>
    </row>
    <row r="60" spans="1:3" x14ac:dyDescent="0.25">
      <c r="B60" t="s">
        <v>172</v>
      </c>
      <c r="C60">
        <v>41</v>
      </c>
    </row>
    <row r="64" spans="1:3" x14ac:dyDescent="0.25">
      <c r="A64" t="s">
        <v>203</v>
      </c>
    </row>
    <row r="66" spans="1:3" x14ac:dyDescent="0.25">
      <c r="A66" t="s">
        <v>160</v>
      </c>
      <c r="B66" t="s">
        <v>161</v>
      </c>
      <c r="C66" t="s">
        <v>162</v>
      </c>
    </row>
    <row r="67" spans="1:3" x14ac:dyDescent="0.25">
      <c r="A67" t="s">
        <v>204</v>
      </c>
      <c r="B67" t="s">
        <v>205</v>
      </c>
      <c r="C67">
        <v>5</v>
      </c>
    </row>
    <row r="68" spans="1:3" x14ac:dyDescent="0.25">
      <c r="A68" t="s">
        <v>206</v>
      </c>
      <c r="B68" t="s">
        <v>202</v>
      </c>
      <c r="C68">
        <v>0</v>
      </c>
    </row>
    <row r="69" spans="1:3" x14ac:dyDescent="0.25">
      <c r="A69" t="s">
        <v>207</v>
      </c>
      <c r="B69" t="s">
        <v>202</v>
      </c>
      <c r="C69">
        <v>0</v>
      </c>
    </row>
    <row r="70" spans="1:3" x14ac:dyDescent="0.25">
      <c r="A70" t="s">
        <v>208</v>
      </c>
      <c r="B70" t="s">
        <v>209</v>
      </c>
      <c r="C70">
        <v>2</v>
      </c>
    </row>
    <row r="71" spans="1:3" x14ac:dyDescent="0.25">
      <c r="A71" t="s">
        <v>210</v>
      </c>
      <c r="C71">
        <v>4</v>
      </c>
    </row>
    <row r="72" spans="1:3" x14ac:dyDescent="0.25">
      <c r="B72" t="s">
        <v>171</v>
      </c>
      <c r="C72">
        <v>7</v>
      </c>
    </row>
    <row r="73" spans="1:3" x14ac:dyDescent="0.25">
      <c r="B73" t="s">
        <v>172</v>
      </c>
      <c r="C73">
        <v>72</v>
      </c>
    </row>
    <row r="77" spans="1:3" x14ac:dyDescent="0.25">
      <c r="A77" t="s">
        <v>211</v>
      </c>
    </row>
    <row r="79" spans="1:3" x14ac:dyDescent="0.25">
      <c r="A79" t="s">
        <v>160</v>
      </c>
      <c r="B79" t="s">
        <v>161</v>
      </c>
      <c r="C79" t="s">
        <v>162</v>
      </c>
    </row>
    <row r="80" spans="1:3" x14ac:dyDescent="0.25">
      <c r="A80" t="s">
        <v>3</v>
      </c>
      <c r="B80" t="s">
        <v>212</v>
      </c>
      <c r="C80">
        <v>64</v>
      </c>
    </row>
    <row r="81" spans="1:11" x14ac:dyDescent="0.25">
      <c r="A81" t="s">
        <v>2</v>
      </c>
      <c r="B81" t="s">
        <v>213</v>
      </c>
      <c r="C81">
        <v>8</v>
      </c>
    </row>
    <row r="82" spans="1:11" x14ac:dyDescent="0.25">
      <c r="B82" t="s">
        <v>171</v>
      </c>
      <c r="C82">
        <v>72</v>
      </c>
    </row>
    <row r="83" spans="1:11" x14ac:dyDescent="0.25">
      <c r="B83" t="s">
        <v>172</v>
      </c>
      <c r="C83">
        <v>7</v>
      </c>
    </row>
    <row r="87" spans="1:11" x14ac:dyDescent="0.25">
      <c r="A87" t="s">
        <v>214</v>
      </c>
    </row>
    <row r="89" spans="1:11" x14ac:dyDescent="0.25">
      <c r="A89" t="s">
        <v>160</v>
      </c>
      <c r="B89" t="s">
        <v>215</v>
      </c>
      <c r="C89" t="s">
        <v>179</v>
      </c>
      <c r="D89" t="s">
        <v>183</v>
      </c>
      <c r="E89" t="s">
        <v>216</v>
      </c>
      <c r="F89" t="s">
        <v>217</v>
      </c>
      <c r="G89" t="s">
        <v>218</v>
      </c>
      <c r="H89" t="s">
        <v>219</v>
      </c>
      <c r="I89" t="s">
        <v>220</v>
      </c>
      <c r="K89" t="s">
        <v>162</v>
      </c>
    </row>
    <row r="90" spans="1:11" x14ac:dyDescent="0.25">
      <c r="A90" t="s">
        <v>221</v>
      </c>
      <c r="B90">
        <v>7</v>
      </c>
      <c r="C90">
        <v>0</v>
      </c>
      <c r="D90">
        <v>1</v>
      </c>
      <c r="E90">
        <v>1</v>
      </c>
      <c r="F90">
        <v>1</v>
      </c>
      <c r="G90">
        <v>0</v>
      </c>
      <c r="H90">
        <v>0</v>
      </c>
      <c r="I90">
        <v>1</v>
      </c>
      <c r="K90">
        <v>11</v>
      </c>
    </row>
    <row r="91" spans="1:11" x14ac:dyDescent="0.25">
      <c r="A91" t="s">
        <v>222</v>
      </c>
      <c r="B91">
        <v>5</v>
      </c>
      <c r="C91">
        <v>3</v>
      </c>
      <c r="D91">
        <v>3</v>
      </c>
      <c r="E91">
        <v>2</v>
      </c>
      <c r="F91">
        <v>9</v>
      </c>
      <c r="G91">
        <v>1</v>
      </c>
      <c r="H91">
        <v>1</v>
      </c>
      <c r="I91">
        <v>1</v>
      </c>
      <c r="K91">
        <v>25</v>
      </c>
    </row>
    <row r="92" spans="1:11" x14ac:dyDescent="0.25">
      <c r="A92" t="s">
        <v>223</v>
      </c>
      <c r="B92">
        <v>3</v>
      </c>
      <c r="C92">
        <v>6</v>
      </c>
      <c r="D92">
        <v>6</v>
      </c>
      <c r="E92">
        <v>3</v>
      </c>
      <c r="F92">
        <v>7</v>
      </c>
      <c r="G92">
        <v>0</v>
      </c>
      <c r="H92">
        <v>6</v>
      </c>
      <c r="I92">
        <v>4</v>
      </c>
      <c r="K92">
        <v>35</v>
      </c>
    </row>
    <row r="93" spans="1:11" x14ac:dyDescent="0.25">
      <c r="A93" t="s">
        <v>88</v>
      </c>
      <c r="B93">
        <v>5</v>
      </c>
      <c r="C93">
        <v>3</v>
      </c>
      <c r="D93">
        <v>5</v>
      </c>
      <c r="E93">
        <v>3</v>
      </c>
      <c r="F93">
        <v>2</v>
      </c>
      <c r="G93">
        <v>0</v>
      </c>
      <c r="H93">
        <v>1</v>
      </c>
      <c r="I93">
        <v>0</v>
      </c>
      <c r="K93">
        <v>19</v>
      </c>
    </row>
    <row r="94" spans="1:11" x14ac:dyDescent="0.25">
      <c r="I94" t="s">
        <v>171</v>
      </c>
      <c r="K94">
        <v>63</v>
      </c>
    </row>
    <row r="95" spans="1:11" x14ac:dyDescent="0.25">
      <c r="I95" t="s">
        <v>172</v>
      </c>
      <c r="K95">
        <v>16</v>
      </c>
    </row>
    <row r="99" spans="1:5" x14ac:dyDescent="0.25">
      <c r="A99" t="s">
        <v>224</v>
      </c>
    </row>
    <row r="101" spans="1:5" x14ac:dyDescent="0.25">
      <c r="A101" t="s">
        <v>160</v>
      </c>
      <c r="B101" t="s">
        <v>161</v>
      </c>
      <c r="C101" t="s">
        <v>162</v>
      </c>
    </row>
    <row r="102" spans="1:5" x14ac:dyDescent="0.25">
      <c r="A102" t="s">
        <v>188</v>
      </c>
      <c r="B102" t="s">
        <v>166</v>
      </c>
      <c r="C102">
        <v>12</v>
      </c>
      <c r="E102" s="135">
        <f>B102+B103</f>
        <v>0.47599999999999998</v>
      </c>
    </row>
    <row r="103" spans="1:5" x14ac:dyDescent="0.25">
      <c r="A103" t="s">
        <v>190</v>
      </c>
      <c r="B103" t="s">
        <v>209</v>
      </c>
      <c r="C103">
        <v>18</v>
      </c>
    </row>
    <row r="104" spans="1:5" x14ac:dyDescent="0.25">
      <c r="A104" t="s">
        <v>192</v>
      </c>
      <c r="B104" t="s">
        <v>225</v>
      </c>
      <c r="C104">
        <v>15</v>
      </c>
    </row>
    <row r="105" spans="1:5" x14ac:dyDescent="0.25">
      <c r="A105" t="s">
        <v>194</v>
      </c>
      <c r="B105" t="s">
        <v>226</v>
      </c>
      <c r="C105">
        <v>9</v>
      </c>
    </row>
    <row r="106" spans="1:5" x14ac:dyDescent="0.25">
      <c r="A106" t="s">
        <v>196</v>
      </c>
      <c r="B106" t="s">
        <v>226</v>
      </c>
      <c r="C106">
        <v>9</v>
      </c>
    </row>
    <row r="107" spans="1:5" x14ac:dyDescent="0.25">
      <c r="B107" t="s">
        <v>171</v>
      </c>
      <c r="C107">
        <v>63</v>
      </c>
    </row>
    <row r="108" spans="1:5" x14ac:dyDescent="0.25">
      <c r="B108" t="s">
        <v>172</v>
      </c>
      <c r="C108">
        <v>16</v>
      </c>
    </row>
    <row r="112" spans="1:5" x14ac:dyDescent="0.25">
      <c r="A112" t="s">
        <v>227</v>
      </c>
    </row>
    <row r="114" spans="1:14" x14ac:dyDescent="0.25">
      <c r="A114" t="s">
        <v>160</v>
      </c>
      <c r="B114" t="s">
        <v>215</v>
      </c>
      <c r="C114">
        <v>1000</v>
      </c>
      <c r="D114">
        <v>2000</v>
      </c>
      <c r="E114">
        <v>3000</v>
      </c>
      <c r="F114">
        <v>4000</v>
      </c>
      <c r="G114">
        <v>5000</v>
      </c>
      <c r="H114">
        <v>7000</v>
      </c>
      <c r="I114">
        <v>8000</v>
      </c>
      <c r="K114" s="197" t="s">
        <v>228</v>
      </c>
    </row>
    <row r="115" spans="1:14" x14ac:dyDescent="0.25">
      <c r="A115" t="s">
        <v>229</v>
      </c>
      <c r="B115">
        <v>5</v>
      </c>
      <c r="C115">
        <v>1</v>
      </c>
      <c r="D115">
        <v>0</v>
      </c>
      <c r="E115">
        <v>1</v>
      </c>
      <c r="F115">
        <v>2</v>
      </c>
      <c r="G115">
        <v>0</v>
      </c>
      <c r="H115">
        <v>0</v>
      </c>
      <c r="I115">
        <v>0</v>
      </c>
      <c r="K115">
        <f>SUM(B115:J115)</f>
        <v>9</v>
      </c>
      <c r="L115" s="135">
        <f>K115/$K$119</f>
        <v>0.13846153846153847</v>
      </c>
      <c r="M115" s="139">
        <f>C115/K115*$C$114+E115/K115*$E$114+F115/K115*$F$114</f>
        <v>1333.3333333333333</v>
      </c>
      <c r="N115" s="139">
        <f>L115*M115</f>
        <v>184.61538461538461</v>
      </c>
    </row>
    <row r="116" spans="1:14" x14ac:dyDescent="0.25">
      <c r="A116" t="s">
        <v>230</v>
      </c>
      <c r="B116">
        <v>5</v>
      </c>
      <c r="C116">
        <v>3</v>
      </c>
      <c r="D116">
        <v>4</v>
      </c>
      <c r="E116">
        <v>3</v>
      </c>
      <c r="F116">
        <v>2</v>
      </c>
      <c r="G116">
        <v>0</v>
      </c>
      <c r="H116">
        <v>0</v>
      </c>
      <c r="I116">
        <v>0</v>
      </c>
      <c r="K116">
        <f>SUM(B116:J116)</f>
        <v>17</v>
      </c>
      <c r="L116" s="135">
        <f>K116/$K$119</f>
        <v>0.26153846153846155</v>
      </c>
      <c r="M116" s="139">
        <f>C116/K116*$C$114+E116/K116*$E$114+F116/K116*$F$114+D116/K116*$D$114</f>
        <v>1647.0588235294117</v>
      </c>
      <c r="N116" s="139">
        <f>L116*M116</f>
        <v>430.76923076923077</v>
      </c>
    </row>
    <row r="117" spans="1:14" x14ac:dyDescent="0.25">
      <c r="A117" t="s">
        <v>231</v>
      </c>
      <c r="B117">
        <v>4</v>
      </c>
      <c r="C117">
        <v>5</v>
      </c>
      <c r="D117">
        <v>6</v>
      </c>
      <c r="E117">
        <v>1</v>
      </c>
      <c r="F117">
        <v>4</v>
      </c>
      <c r="G117">
        <v>1</v>
      </c>
      <c r="H117">
        <v>3</v>
      </c>
      <c r="I117">
        <v>0</v>
      </c>
      <c r="K117">
        <f>SUM(B117:J117)</f>
        <v>24</v>
      </c>
      <c r="L117" s="135">
        <f>K117/$K$119</f>
        <v>0.36923076923076925</v>
      </c>
      <c r="M117" s="139">
        <f>C117/K117*$C$114+E117/K117*$E$114+F117/K117*$F$114+D117/K117*$D$114+G117/K117*$G$114+H117/K117*$H$114</f>
        <v>2583.333333333333</v>
      </c>
      <c r="N117" s="139">
        <f>L117*M117</f>
        <v>953.84615384615381</v>
      </c>
    </row>
    <row r="118" spans="1:14" x14ac:dyDescent="0.25">
      <c r="A118" t="s">
        <v>232</v>
      </c>
      <c r="B118">
        <v>4</v>
      </c>
      <c r="C118">
        <v>2</v>
      </c>
      <c r="D118">
        <v>5</v>
      </c>
      <c r="E118">
        <v>4</v>
      </c>
      <c r="F118">
        <v>0</v>
      </c>
      <c r="G118">
        <v>0</v>
      </c>
      <c r="H118">
        <v>0</v>
      </c>
      <c r="I118">
        <v>0</v>
      </c>
      <c r="K118">
        <f>SUM(B118:J118)</f>
        <v>15</v>
      </c>
      <c r="L118" s="135">
        <f>K118/$K$119</f>
        <v>0.23076923076923078</v>
      </c>
      <c r="M118" s="139">
        <f>C118/K118*$C$114+E118/K118*$E$114+F118/K118*$F$114+D118/K118*$D$114+G118/K118*$G$114</f>
        <v>1600</v>
      </c>
      <c r="N118" s="139">
        <f>L118*M118</f>
        <v>369.23076923076923</v>
      </c>
    </row>
    <row r="119" spans="1:14" x14ac:dyDescent="0.25">
      <c r="I119" t="s">
        <v>171</v>
      </c>
      <c r="K119">
        <f>SUM(K115:K118)</f>
        <v>65</v>
      </c>
      <c r="M119" s="139"/>
    </row>
    <row r="120" spans="1:14" x14ac:dyDescent="0.25">
      <c r="I120" t="s">
        <v>172</v>
      </c>
      <c r="K120">
        <v>36</v>
      </c>
    </row>
    <row r="124" spans="1:14" x14ac:dyDescent="0.25">
      <c r="A124" t="s">
        <v>233</v>
      </c>
    </row>
    <row r="126" spans="1:14" x14ac:dyDescent="0.25">
      <c r="A126" t="s">
        <v>160</v>
      </c>
      <c r="B126" t="s">
        <v>161</v>
      </c>
      <c r="C126" t="s">
        <v>162</v>
      </c>
    </row>
    <row r="127" spans="1:14" x14ac:dyDescent="0.25">
      <c r="A127" t="s">
        <v>234</v>
      </c>
      <c r="B127" t="s">
        <v>235</v>
      </c>
      <c r="C127">
        <v>20</v>
      </c>
    </row>
    <row r="128" spans="1:14" x14ac:dyDescent="0.25">
      <c r="A128" t="s">
        <v>236</v>
      </c>
      <c r="B128" t="s">
        <v>237</v>
      </c>
      <c r="C128">
        <v>23</v>
      </c>
    </row>
    <row r="129" spans="1:3" x14ac:dyDescent="0.25">
      <c r="B129" t="s">
        <v>171</v>
      </c>
      <c r="C129">
        <v>43</v>
      </c>
    </row>
    <row r="130" spans="1:3" x14ac:dyDescent="0.25">
      <c r="B130" t="s">
        <v>172</v>
      </c>
      <c r="C130">
        <v>36</v>
      </c>
    </row>
    <row r="134" spans="1:3" x14ac:dyDescent="0.25">
      <c r="A134" t="s">
        <v>238</v>
      </c>
    </row>
    <row r="136" spans="1:3" x14ac:dyDescent="0.25">
      <c r="A136" t="s">
        <v>160</v>
      </c>
      <c r="B136" t="s">
        <v>161</v>
      </c>
      <c r="C136" t="s">
        <v>162</v>
      </c>
    </row>
    <row r="137" spans="1:3" x14ac:dyDescent="0.25">
      <c r="A137" t="s">
        <v>204</v>
      </c>
      <c r="B137" t="s">
        <v>239</v>
      </c>
      <c r="C137">
        <v>4</v>
      </c>
    </row>
    <row r="138" spans="1:3" x14ac:dyDescent="0.25">
      <c r="A138" t="s">
        <v>240</v>
      </c>
      <c r="B138" t="s">
        <v>202</v>
      </c>
      <c r="C138">
        <v>0</v>
      </c>
    </row>
    <row r="139" spans="1:3" x14ac:dyDescent="0.25">
      <c r="A139" t="s">
        <v>241</v>
      </c>
      <c r="B139" t="s">
        <v>239</v>
      </c>
      <c r="C139">
        <v>4</v>
      </c>
    </row>
    <row r="140" spans="1:3" x14ac:dyDescent="0.25">
      <c r="A140" t="s">
        <v>208</v>
      </c>
      <c r="B140" t="s">
        <v>242</v>
      </c>
      <c r="C140">
        <v>8</v>
      </c>
    </row>
    <row r="141" spans="1:3" x14ac:dyDescent="0.25">
      <c r="A141" t="s">
        <v>210</v>
      </c>
      <c r="C141">
        <v>4</v>
      </c>
    </row>
    <row r="142" spans="1:3" x14ac:dyDescent="0.25">
      <c r="B142" t="s">
        <v>171</v>
      </c>
      <c r="C142">
        <v>16</v>
      </c>
    </row>
    <row r="143" spans="1:3" x14ac:dyDescent="0.25">
      <c r="B143" t="s">
        <v>172</v>
      </c>
      <c r="C143">
        <v>63</v>
      </c>
    </row>
    <row r="147" spans="1:3" x14ac:dyDescent="0.25">
      <c r="A147" t="s">
        <v>243</v>
      </c>
    </row>
    <row r="149" spans="1:3" x14ac:dyDescent="0.25">
      <c r="A149" t="s">
        <v>160</v>
      </c>
      <c r="B149" t="s">
        <v>161</v>
      </c>
      <c r="C149" t="s">
        <v>162</v>
      </c>
    </row>
    <row r="150" spans="1:3" x14ac:dyDescent="0.25">
      <c r="A150" t="s">
        <v>244</v>
      </c>
      <c r="B150" t="s">
        <v>242</v>
      </c>
      <c r="C150">
        <v>12</v>
      </c>
    </row>
    <row r="151" spans="1:3" x14ac:dyDescent="0.25">
      <c r="A151" t="s">
        <v>204</v>
      </c>
      <c r="B151" t="s">
        <v>245</v>
      </c>
      <c r="C151">
        <v>5</v>
      </c>
    </row>
    <row r="152" spans="1:3" x14ac:dyDescent="0.25">
      <c r="A152" t="s">
        <v>246</v>
      </c>
      <c r="B152" t="s">
        <v>202</v>
      </c>
      <c r="C152">
        <v>0</v>
      </c>
    </row>
    <row r="153" spans="1:3" x14ac:dyDescent="0.25">
      <c r="A153" t="s">
        <v>247</v>
      </c>
      <c r="B153" t="s">
        <v>202</v>
      </c>
      <c r="C153">
        <v>0</v>
      </c>
    </row>
    <row r="154" spans="1:3" x14ac:dyDescent="0.25">
      <c r="A154" t="s">
        <v>208</v>
      </c>
      <c r="B154" t="s">
        <v>248</v>
      </c>
      <c r="C154">
        <v>7</v>
      </c>
    </row>
    <row r="155" spans="1:3" x14ac:dyDescent="0.25">
      <c r="A155" t="s">
        <v>210</v>
      </c>
      <c r="C155">
        <v>8</v>
      </c>
    </row>
    <row r="156" spans="1:3" x14ac:dyDescent="0.25">
      <c r="B156" t="s">
        <v>171</v>
      </c>
      <c r="C156">
        <v>24</v>
      </c>
    </row>
    <row r="157" spans="1:3" x14ac:dyDescent="0.25">
      <c r="B157" t="s">
        <v>172</v>
      </c>
      <c r="C157">
        <v>55</v>
      </c>
    </row>
    <row r="161" spans="1:3" x14ac:dyDescent="0.25">
      <c r="A161" t="s">
        <v>249</v>
      </c>
    </row>
    <row r="163" spans="1:3" x14ac:dyDescent="0.25">
      <c r="A163" t="s">
        <v>160</v>
      </c>
      <c r="B163" t="s">
        <v>161</v>
      </c>
      <c r="C163" t="s">
        <v>162</v>
      </c>
    </row>
    <row r="164" spans="1:3" x14ac:dyDescent="0.25">
      <c r="A164" t="s">
        <v>3</v>
      </c>
      <c r="B164" t="s">
        <v>250</v>
      </c>
      <c r="C164">
        <v>62</v>
      </c>
    </row>
    <row r="165" spans="1:3" x14ac:dyDescent="0.25">
      <c r="A165" t="s">
        <v>2</v>
      </c>
      <c r="B165" t="s">
        <v>251</v>
      </c>
      <c r="C165">
        <v>10</v>
      </c>
    </row>
    <row r="166" spans="1:3" x14ac:dyDescent="0.25">
      <c r="B166" t="s">
        <v>171</v>
      </c>
      <c r="C166">
        <v>72</v>
      </c>
    </row>
    <row r="167" spans="1:3" x14ac:dyDescent="0.25">
      <c r="B167" t="s">
        <v>172</v>
      </c>
      <c r="C167">
        <v>7</v>
      </c>
    </row>
    <row r="171" spans="1:3" x14ac:dyDescent="0.25">
      <c r="A171" t="s">
        <v>252</v>
      </c>
    </row>
    <row r="173" spans="1:3" x14ac:dyDescent="0.25">
      <c r="A173" t="s">
        <v>160</v>
      </c>
      <c r="B173" t="s">
        <v>161</v>
      </c>
      <c r="C173" t="s">
        <v>162</v>
      </c>
    </row>
    <row r="174" spans="1:3" x14ac:dyDescent="0.25">
      <c r="A174" t="s">
        <v>253</v>
      </c>
      <c r="B174" t="s">
        <v>254</v>
      </c>
      <c r="C174">
        <v>31</v>
      </c>
    </row>
    <row r="175" spans="1:3" x14ac:dyDescent="0.25">
      <c r="A175" t="s">
        <v>255</v>
      </c>
      <c r="B175" t="s">
        <v>256</v>
      </c>
      <c r="C175">
        <v>18</v>
      </c>
    </row>
    <row r="176" spans="1:3" x14ac:dyDescent="0.25">
      <c r="A176" t="s">
        <v>257</v>
      </c>
      <c r="B176" t="s">
        <v>258</v>
      </c>
      <c r="C176">
        <v>9</v>
      </c>
    </row>
    <row r="177" spans="1:4" x14ac:dyDescent="0.25">
      <c r="A177" t="s">
        <v>259</v>
      </c>
      <c r="B177" t="s">
        <v>260</v>
      </c>
      <c r="C177">
        <v>2</v>
      </c>
    </row>
    <row r="178" spans="1:4" x14ac:dyDescent="0.25">
      <c r="B178" t="s">
        <v>171</v>
      </c>
      <c r="C178">
        <v>60</v>
      </c>
    </row>
    <row r="179" spans="1:4" x14ac:dyDescent="0.25">
      <c r="B179" t="s">
        <v>172</v>
      </c>
      <c r="C179">
        <v>19</v>
      </c>
    </row>
    <row r="183" spans="1:4" x14ac:dyDescent="0.25">
      <c r="A183" t="s">
        <v>261</v>
      </c>
    </row>
    <row r="185" spans="1:4" x14ac:dyDescent="0.25">
      <c r="A185" t="s">
        <v>160</v>
      </c>
      <c r="B185" t="s">
        <v>161</v>
      </c>
      <c r="C185" t="s">
        <v>162</v>
      </c>
    </row>
    <row r="186" spans="1:4" x14ac:dyDescent="0.25">
      <c r="A186" t="s">
        <v>188</v>
      </c>
      <c r="B186" t="s">
        <v>262</v>
      </c>
      <c r="C186">
        <v>12</v>
      </c>
      <c r="D186" s="135">
        <f>B186+B187</f>
        <v>0.52500000000000002</v>
      </c>
    </row>
    <row r="187" spans="1:4" x14ac:dyDescent="0.25">
      <c r="A187" t="s">
        <v>190</v>
      </c>
      <c r="B187" t="s">
        <v>263</v>
      </c>
      <c r="C187">
        <v>20</v>
      </c>
    </row>
    <row r="188" spans="1:4" x14ac:dyDescent="0.25">
      <c r="A188" t="s">
        <v>192</v>
      </c>
      <c r="B188" t="s">
        <v>264</v>
      </c>
      <c r="C188">
        <v>19</v>
      </c>
    </row>
    <row r="189" spans="1:4" x14ac:dyDescent="0.25">
      <c r="A189" t="s">
        <v>194</v>
      </c>
      <c r="B189" t="s">
        <v>265</v>
      </c>
      <c r="C189">
        <v>4</v>
      </c>
    </row>
    <row r="190" spans="1:4" x14ac:dyDescent="0.25">
      <c r="A190" t="s">
        <v>196</v>
      </c>
      <c r="B190" t="s">
        <v>266</v>
      </c>
      <c r="C190">
        <v>6</v>
      </c>
    </row>
    <row r="191" spans="1:4" x14ac:dyDescent="0.25">
      <c r="B191" t="s">
        <v>171</v>
      </c>
      <c r="C191">
        <v>61</v>
      </c>
    </row>
    <row r="192" spans="1:4" x14ac:dyDescent="0.25">
      <c r="B192" t="s">
        <v>172</v>
      </c>
      <c r="C192">
        <v>18</v>
      </c>
    </row>
    <row r="196" spans="1:8" x14ac:dyDescent="0.25">
      <c r="A196" t="s">
        <v>267</v>
      </c>
    </row>
    <row r="198" spans="1:8" x14ac:dyDescent="0.25">
      <c r="A198" t="s">
        <v>160</v>
      </c>
      <c r="B198" t="s">
        <v>161</v>
      </c>
      <c r="C198" t="s">
        <v>162</v>
      </c>
    </row>
    <row r="199" spans="1:8" x14ac:dyDescent="0.25">
      <c r="A199">
        <v>226</v>
      </c>
      <c r="B199" s="199">
        <f>68.6%+B202</f>
        <v>0.74499999999999988</v>
      </c>
      <c r="C199">
        <f>35+C202</f>
        <v>38</v>
      </c>
      <c r="D199">
        <v>226</v>
      </c>
      <c r="E199">
        <f>D199*B199</f>
        <v>168.36999999999998</v>
      </c>
    </row>
    <row r="200" spans="1:8" x14ac:dyDescent="0.25">
      <c r="A200">
        <v>452</v>
      </c>
      <c r="B200" s="199">
        <f>15.7%+B203</f>
        <v>0.216</v>
      </c>
      <c r="C200">
        <f>C2038</f>
        <v>0</v>
      </c>
      <c r="D200">
        <v>452</v>
      </c>
      <c r="E200">
        <f>D200*B200</f>
        <v>97.632000000000005</v>
      </c>
    </row>
    <row r="201" spans="1:8" x14ac:dyDescent="0.25">
      <c r="A201" t="s">
        <v>268</v>
      </c>
      <c r="B201" t="s">
        <v>269</v>
      </c>
      <c r="C201">
        <v>2</v>
      </c>
      <c r="D201">
        <v>600</v>
      </c>
      <c r="E201">
        <f>D201*B201</f>
        <v>23.4</v>
      </c>
    </row>
    <row r="202" spans="1:8" x14ac:dyDescent="0.25">
      <c r="A202" t="s">
        <v>270</v>
      </c>
      <c r="B202" t="s">
        <v>271</v>
      </c>
      <c r="C202">
        <v>3</v>
      </c>
      <c r="E202">
        <f>SUM(E199:E201)</f>
        <v>289.40199999999993</v>
      </c>
      <c r="F202" s="197" t="s">
        <v>272</v>
      </c>
      <c r="H202" s="139">
        <f>E202</f>
        <v>289.40199999999993</v>
      </c>
    </row>
    <row r="203" spans="1:8" x14ac:dyDescent="0.25">
      <c r="A203" t="s">
        <v>273</v>
      </c>
      <c r="B203" t="s">
        <v>271</v>
      </c>
      <c r="C203">
        <v>3</v>
      </c>
    </row>
    <row r="204" spans="1:8" x14ac:dyDescent="0.25">
      <c r="B204" t="s">
        <v>171</v>
      </c>
      <c r="C204">
        <v>51</v>
      </c>
    </row>
    <row r="205" spans="1:8" x14ac:dyDescent="0.25">
      <c r="B205" t="s">
        <v>172</v>
      </c>
      <c r="C205">
        <v>28</v>
      </c>
    </row>
    <row r="209" spans="1:3" x14ac:dyDescent="0.25">
      <c r="A209" t="s">
        <v>274</v>
      </c>
    </row>
    <row r="211" spans="1:3" x14ac:dyDescent="0.25">
      <c r="A211" t="s">
        <v>160</v>
      </c>
      <c r="B211" t="s">
        <v>162</v>
      </c>
    </row>
    <row r="212" spans="1:3" x14ac:dyDescent="0.25">
      <c r="B212">
        <v>45</v>
      </c>
    </row>
    <row r="213" spans="1:3" x14ac:dyDescent="0.25">
      <c r="A213" t="s">
        <v>171</v>
      </c>
      <c r="B213">
        <v>45</v>
      </c>
    </row>
    <row r="214" spans="1:3" x14ac:dyDescent="0.25">
      <c r="A214" t="s">
        <v>172</v>
      </c>
      <c r="B214">
        <v>34</v>
      </c>
    </row>
    <row r="218" spans="1:3" x14ac:dyDescent="0.25">
      <c r="A218" t="s">
        <v>275</v>
      </c>
    </row>
    <row r="220" spans="1:3" x14ac:dyDescent="0.25">
      <c r="A220" t="s">
        <v>160</v>
      </c>
      <c r="B220" t="s">
        <v>161</v>
      </c>
      <c r="C220" t="s">
        <v>162</v>
      </c>
    </row>
    <row r="221" spans="1:3" x14ac:dyDescent="0.25">
      <c r="A221" t="s">
        <v>276</v>
      </c>
      <c r="B221" t="s">
        <v>277</v>
      </c>
      <c r="C221">
        <v>5</v>
      </c>
    </row>
    <row r="222" spans="1:3" x14ac:dyDescent="0.25">
      <c r="A222" t="s">
        <v>278</v>
      </c>
      <c r="B222" t="s">
        <v>279</v>
      </c>
      <c r="C222">
        <v>33</v>
      </c>
    </row>
    <row r="223" spans="1:3" x14ac:dyDescent="0.25">
      <c r="A223" t="s">
        <v>280</v>
      </c>
      <c r="B223" t="s">
        <v>281</v>
      </c>
      <c r="C223">
        <v>19</v>
      </c>
    </row>
    <row r="224" spans="1:3" x14ac:dyDescent="0.25">
      <c r="A224" t="s">
        <v>282</v>
      </c>
      <c r="B224" t="s">
        <v>283</v>
      </c>
      <c r="C224">
        <v>7</v>
      </c>
    </row>
    <row r="225" spans="1:3" x14ac:dyDescent="0.25">
      <c r="A225" t="s">
        <v>210</v>
      </c>
      <c r="C225">
        <v>5</v>
      </c>
    </row>
    <row r="226" spans="1:3" x14ac:dyDescent="0.25">
      <c r="B226" t="s">
        <v>171</v>
      </c>
      <c r="C226">
        <v>64</v>
      </c>
    </row>
    <row r="227" spans="1:3" x14ac:dyDescent="0.25">
      <c r="B227" t="s">
        <v>172</v>
      </c>
      <c r="C227">
        <v>15</v>
      </c>
    </row>
    <row r="231" spans="1:3" x14ac:dyDescent="0.25">
      <c r="A231" t="s">
        <v>284</v>
      </c>
    </row>
    <row r="233" spans="1:3" x14ac:dyDescent="0.25">
      <c r="A233" t="s">
        <v>160</v>
      </c>
      <c r="B233" t="s">
        <v>162</v>
      </c>
    </row>
    <row r="234" spans="1:3" x14ac:dyDescent="0.25">
      <c r="B234">
        <v>46</v>
      </c>
    </row>
    <row r="235" spans="1:3" x14ac:dyDescent="0.25">
      <c r="A235" t="s">
        <v>171</v>
      </c>
      <c r="B235">
        <v>46</v>
      </c>
    </row>
    <row r="236" spans="1:3" x14ac:dyDescent="0.25">
      <c r="A236" t="s">
        <v>172</v>
      </c>
      <c r="B236">
        <v>33</v>
      </c>
    </row>
    <row r="240" spans="1:3" x14ac:dyDescent="0.25">
      <c r="A240" t="s">
        <v>285</v>
      </c>
    </row>
    <row r="242" spans="1:2" x14ac:dyDescent="0.25">
      <c r="A242" t="s">
        <v>160</v>
      </c>
      <c r="B242" t="s">
        <v>162</v>
      </c>
    </row>
    <row r="243" spans="1:2" x14ac:dyDescent="0.25">
      <c r="B243">
        <v>30</v>
      </c>
    </row>
    <row r="244" spans="1:2" x14ac:dyDescent="0.25">
      <c r="A244" t="s">
        <v>171</v>
      </c>
      <c r="B244">
        <v>30</v>
      </c>
    </row>
    <row r="245" spans="1:2" x14ac:dyDescent="0.25">
      <c r="A245" t="s">
        <v>172</v>
      </c>
      <c r="B245">
        <v>49</v>
      </c>
    </row>
  </sheetData>
  <phoneticPr fontId="5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70" zoomScaleNormal="70" zoomScalePage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3" sqref="H23"/>
    </sheetView>
  </sheetViews>
  <sheetFormatPr defaultColWidth="8.85546875" defaultRowHeight="15" x14ac:dyDescent="0.25"/>
  <cols>
    <col min="1" max="1" width="29.42578125" bestFit="1" customWidth="1"/>
    <col min="2" max="2" width="18.42578125" bestFit="1" customWidth="1"/>
    <col min="3" max="3" width="12.85546875" customWidth="1"/>
    <col min="4" max="4" width="13.85546875" customWidth="1"/>
    <col min="5" max="5" width="12.85546875" customWidth="1"/>
    <col min="6" max="7" width="10.42578125" bestFit="1" customWidth="1"/>
    <col min="8" max="8" width="9.42578125" bestFit="1" customWidth="1"/>
    <col min="9" max="9" width="10.42578125" bestFit="1" customWidth="1"/>
  </cols>
  <sheetData>
    <row r="1" spans="1:11" ht="15.75" x14ac:dyDescent="0.25">
      <c r="A1" s="138" t="s">
        <v>106</v>
      </c>
    </row>
    <row r="2" spans="1:11" x14ac:dyDescent="0.25">
      <c r="C2" s="186" t="s">
        <v>85</v>
      </c>
      <c r="D2" s="187">
        <v>0.02</v>
      </c>
      <c r="E2" s="186" t="s">
        <v>89</v>
      </c>
      <c r="F2" s="187">
        <v>0.01</v>
      </c>
      <c r="G2" s="186" t="s">
        <v>17</v>
      </c>
      <c r="H2" s="186" t="s">
        <v>0</v>
      </c>
      <c r="I2" s="186" t="s">
        <v>28</v>
      </c>
    </row>
    <row r="3" spans="1:11" x14ac:dyDescent="0.25">
      <c r="A3" t="s">
        <v>90</v>
      </c>
      <c r="C3">
        <v>75</v>
      </c>
      <c r="D3">
        <v>75</v>
      </c>
      <c r="E3">
        <v>75</v>
      </c>
      <c r="F3">
        <v>75</v>
      </c>
      <c r="G3">
        <v>75</v>
      </c>
      <c r="H3">
        <v>75</v>
      </c>
      <c r="I3">
        <v>75</v>
      </c>
    </row>
    <row r="4" spans="1:11" x14ac:dyDescent="0.25">
      <c r="A4" t="s">
        <v>91</v>
      </c>
      <c r="C4" s="140">
        <v>38149.799999999996</v>
      </c>
      <c r="D4" s="140">
        <v>13671.452307692307</v>
      </c>
      <c r="E4" s="140">
        <v>5859.1938461538457</v>
      </c>
      <c r="F4" s="136">
        <v>30272.501538461536</v>
      </c>
      <c r="G4" s="136">
        <v>11718.387692307691</v>
      </c>
      <c r="H4" s="136">
        <v>9811.2704287499982</v>
      </c>
      <c r="I4" s="136">
        <v>528</v>
      </c>
      <c r="K4" s="137"/>
    </row>
    <row r="5" spans="1:11" x14ac:dyDescent="0.25">
      <c r="H5" t="s">
        <v>111</v>
      </c>
    </row>
    <row r="6" spans="1:11" x14ac:dyDescent="0.25">
      <c r="A6" s="134" t="s">
        <v>94</v>
      </c>
    </row>
    <row r="7" spans="1:11" x14ac:dyDescent="0.25">
      <c r="A7" t="s">
        <v>125</v>
      </c>
    </row>
    <row r="8" spans="1:11" x14ac:dyDescent="0.25">
      <c r="A8" t="s">
        <v>126</v>
      </c>
      <c r="B8" s="3">
        <v>40</v>
      </c>
    </row>
    <row r="9" spans="1:11" x14ac:dyDescent="0.25">
      <c r="A9" t="s">
        <v>130</v>
      </c>
      <c r="B9" s="3">
        <v>24</v>
      </c>
    </row>
    <row r="10" spans="1:11" x14ac:dyDescent="0.25">
      <c r="A10" t="s">
        <v>134</v>
      </c>
      <c r="B10" s="3">
        <f>B8*B9</f>
        <v>960</v>
      </c>
    </row>
    <row r="11" spans="1:11" x14ac:dyDescent="0.25">
      <c r="A11" t="s">
        <v>129</v>
      </c>
      <c r="B11" s="4">
        <f>48</f>
        <v>48</v>
      </c>
    </row>
    <row r="12" spans="1:11" x14ac:dyDescent="0.25">
      <c r="A12" t="s">
        <v>127</v>
      </c>
      <c r="B12" s="1" t="s">
        <v>128</v>
      </c>
    </row>
    <row r="13" spans="1:11" x14ac:dyDescent="0.25">
      <c r="A13" t="s">
        <v>131</v>
      </c>
      <c r="B13" s="120">
        <f>B8*B9*B11</f>
        <v>46080</v>
      </c>
    </row>
    <row r="14" spans="1:11" x14ac:dyDescent="0.25">
      <c r="A14" t="s">
        <v>132</v>
      </c>
      <c r="B14" s="120">
        <f>B13*12</f>
        <v>552960</v>
      </c>
    </row>
    <row r="15" spans="1:11" x14ac:dyDescent="0.25">
      <c r="A15" s="134" t="s">
        <v>133</v>
      </c>
      <c r="B15" s="120"/>
    </row>
    <row r="16" spans="1:11" x14ac:dyDescent="0.25">
      <c r="A16" t="s">
        <v>96</v>
      </c>
      <c r="B16">
        <v>20</v>
      </c>
    </row>
    <row r="17" spans="1:10" x14ac:dyDescent="0.25">
      <c r="A17" t="s">
        <v>95</v>
      </c>
      <c r="B17">
        <v>2</v>
      </c>
    </row>
    <row r="18" spans="1:10" x14ac:dyDescent="0.25">
      <c r="A18" t="s">
        <v>97</v>
      </c>
      <c r="B18">
        <v>20</v>
      </c>
    </row>
    <row r="19" spans="1:10" x14ac:dyDescent="0.25">
      <c r="A19" t="s">
        <v>98</v>
      </c>
      <c r="B19">
        <v>10</v>
      </c>
    </row>
    <row r="20" spans="1:10" x14ac:dyDescent="0.25">
      <c r="A20" t="s">
        <v>99</v>
      </c>
      <c r="B20">
        <f>B17*B18+B16*B19</f>
        <v>240</v>
      </c>
    </row>
    <row r="21" spans="1:10" x14ac:dyDescent="0.25">
      <c r="A21" t="s">
        <v>136</v>
      </c>
      <c r="B21" s="136">
        <f>B20*2000</f>
        <v>480000</v>
      </c>
    </row>
    <row r="22" spans="1:10" x14ac:dyDescent="0.25">
      <c r="A22" t="s">
        <v>100</v>
      </c>
      <c r="C22">
        <f>500</f>
        <v>500</v>
      </c>
      <c r="D22">
        <f>$B$23*0.26</f>
        <v>1040</v>
      </c>
      <c r="E22">
        <f>$B$23*0.14</f>
        <v>560</v>
      </c>
      <c r="F22">
        <f>$B$23*0.37</f>
        <v>1480</v>
      </c>
      <c r="G22">
        <f>$B$23*0.23</f>
        <v>920</v>
      </c>
      <c r="H22">
        <v>226</v>
      </c>
      <c r="I22" s="139">
        <f>E22/11.0875</f>
        <v>50.507328072153321</v>
      </c>
    </row>
    <row r="23" spans="1:10" x14ac:dyDescent="0.25">
      <c r="A23" t="s">
        <v>101</v>
      </c>
      <c r="B23">
        <v>4000</v>
      </c>
    </row>
    <row r="24" spans="1:10" x14ac:dyDescent="0.25">
      <c r="A24" t="s">
        <v>102</v>
      </c>
      <c r="C24" s="136">
        <f>$B$20*C22</f>
        <v>120000</v>
      </c>
      <c r="D24" s="136">
        <f t="shared" ref="D24:I24" si="0">$B$20*D22</f>
        <v>249600</v>
      </c>
      <c r="E24" s="136">
        <f t="shared" si="0"/>
        <v>134400</v>
      </c>
      <c r="F24" s="136">
        <f t="shared" si="0"/>
        <v>355200</v>
      </c>
      <c r="G24" s="136">
        <f t="shared" si="0"/>
        <v>220800</v>
      </c>
      <c r="H24" s="136">
        <f t="shared" si="0"/>
        <v>54240</v>
      </c>
      <c r="I24" s="136">
        <f t="shared" si="0"/>
        <v>12121.758737316797</v>
      </c>
    </row>
    <row r="25" spans="1:10" x14ac:dyDescent="0.25">
      <c r="C25" s="144">
        <f>C24/1000*2.74</f>
        <v>328.8</v>
      </c>
      <c r="D25" s="144">
        <f>D24/1000*2.7</f>
        <v>673.92000000000007</v>
      </c>
      <c r="E25" s="144">
        <f>E24/1000*3.5</f>
        <v>470.40000000000003</v>
      </c>
      <c r="F25" s="144">
        <f>F24/1000*2.7</f>
        <v>959.04000000000008</v>
      </c>
      <c r="G25" s="144">
        <f>G24/1000*2.7</f>
        <v>596.16000000000008</v>
      </c>
      <c r="H25" s="137">
        <f>H27*6.5</f>
        <v>776.56387665198235</v>
      </c>
      <c r="I25" s="137">
        <f>I24/1000*5</f>
        <v>60.608793686583986</v>
      </c>
      <c r="J25" s="144">
        <f>SUM(C25:I25)</f>
        <v>3865.4926703385668</v>
      </c>
    </row>
    <row r="26" spans="1:10" x14ac:dyDescent="0.25">
      <c r="A26" t="s">
        <v>110</v>
      </c>
      <c r="J26" s="137">
        <f>J25/B20</f>
        <v>16.106219459744029</v>
      </c>
    </row>
    <row r="27" spans="1:10" x14ac:dyDescent="0.25">
      <c r="A27" t="s">
        <v>109</v>
      </c>
      <c r="C27" s="141">
        <v>60000</v>
      </c>
      <c r="H27" s="137">
        <f>H24/454</f>
        <v>119.47136563876651</v>
      </c>
    </row>
    <row r="30" spans="1:10" x14ac:dyDescent="0.25">
      <c r="A30" t="s">
        <v>135</v>
      </c>
    </row>
    <row r="41" spans="3:3" x14ac:dyDescent="0.25">
      <c r="C41" s="154"/>
    </row>
  </sheetData>
  <phoneticPr fontId="5" type="noConversion"/>
  <printOptions gridLines="1"/>
  <pageMargins left="0.70866141732283472" right="0.70866141732283472" top="0.74803149606299213" bottom="0.74803149606299213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26" sqref="E26"/>
    </sheetView>
  </sheetViews>
  <sheetFormatPr defaultColWidth="11.42578125" defaultRowHeight="15" x14ac:dyDescent="0.25"/>
  <sheetData>
    <row r="1" spans="1:10" ht="75" x14ac:dyDescent="0.25">
      <c r="A1" s="191" t="s">
        <v>142</v>
      </c>
      <c r="B1" s="192" t="s">
        <v>143</v>
      </c>
      <c r="C1" s="192" t="s">
        <v>144</v>
      </c>
      <c r="D1" s="191" t="s">
        <v>145</v>
      </c>
      <c r="E1" s="191" t="s">
        <v>146</v>
      </c>
      <c r="F1" s="192" t="s">
        <v>147</v>
      </c>
      <c r="G1" s="192" t="s">
        <v>148</v>
      </c>
      <c r="H1" s="192" t="s">
        <v>149</v>
      </c>
      <c r="I1" s="192" t="s">
        <v>150</v>
      </c>
    </row>
    <row r="2" spans="1:10" x14ac:dyDescent="0.25">
      <c r="B2" s="193"/>
      <c r="C2" s="193"/>
      <c r="D2" s="193">
        <v>2148</v>
      </c>
      <c r="E2" s="193">
        <v>2.5</v>
      </c>
      <c r="F2" s="193"/>
      <c r="G2" s="193">
        <v>6</v>
      </c>
      <c r="H2" s="193">
        <v>3</v>
      </c>
      <c r="I2" s="193"/>
    </row>
    <row r="3" spans="1:10" x14ac:dyDescent="0.25">
      <c r="A3" t="s">
        <v>151</v>
      </c>
      <c r="B3" s="193">
        <v>10</v>
      </c>
      <c r="C3" s="193">
        <v>0</v>
      </c>
      <c r="D3" s="193">
        <f>(D2-B3)</f>
        <v>2138</v>
      </c>
      <c r="E3" s="193"/>
      <c r="F3" s="193"/>
      <c r="G3" s="193"/>
      <c r="H3" s="193"/>
      <c r="I3" s="193"/>
    </row>
    <row r="4" spans="1:10" x14ac:dyDescent="0.25">
      <c r="A4" t="s">
        <v>152</v>
      </c>
      <c r="B4" s="193">
        <v>4</v>
      </c>
      <c r="C4" s="193">
        <v>0</v>
      </c>
      <c r="D4" s="193">
        <f>(D3-B4)</f>
        <v>2134</v>
      </c>
      <c r="E4" s="193"/>
      <c r="F4" s="193"/>
      <c r="G4" s="193"/>
      <c r="H4" s="193"/>
      <c r="I4" s="193"/>
    </row>
    <row r="5" spans="1:10" x14ac:dyDescent="0.25">
      <c r="A5" s="194">
        <v>38353</v>
      </c>
      <c r="B5" s="195">
        <v>36</v>
      </c>
      <c r="C5" s="195">
        <v>0</v>
      </c>
      <c r="D5">
        <f>(D4-B5+C5)</f>
        <v>2098</v>
      </c>
      <c r="E5">
        <f>(D4-D5)*$E$2</f>
        <v>90</v>
      </c>
      <c r="F5">
        <v>326</v>
      </c>
      <c r="G5">
        <v>36</v>
      </c>
      <c r="H5">
        <v>0</v>
      </c>
      <c r="I5" s="196">
        <f t="shared" ref="I5:I12" si="0">(E5+F5+G5+H5)</f>
        <v>452</v>
      </c>
    </row>
    <row r="6" spans="1:10" x14ac:dyDescent="0.25">
      <c r="A6" s="194">
        <v>40909</v>
      </c>
      <c r="B6" s="195">
        <v>60</v>
      </c>
      <c r="C6" s="195">
        <v>5</v>
      </c>
      <c r="D6">
        <f>(D5-B6+C6)</f>
        <v>2043</v>
      </c>
      <c r="E6">
        <f>(D5-D6)*$E$2</f>
        <v>137.5</v>
      </c>
      <c r="F6">
        <v>289</v>
      </c>
      <c r="G6">
        <v>24</v>
      </c>
      <c r="H6">
        <v>0</v>
      </c>
      <c r="I6" s="196">
        <f t="shared" si="0"/>
        <v>450.5</v>
      </c>
    </row>
    <row r="7" spans="1:10" x14ac:dyDescent="0.25">
      <c r="A7" s="194">
        <v>43466</v>
      </c>
      <c r="B7" s="195">
        <v>83</v>
      </c>
      <c r="C7" s="195">
        <v>18</v>
      </c>
      <c r="D7">
        <f t="shared" ref="D7:D12" si="1">(D6-B7+C7)</f>
        <v>1978</v>
      </c>
      <c r="E7">
        <f t="shared" ref="E7:E12" si="2">(D6-D7)*$E$2</f>
        <v>162.5</v>
      </c>
      <c r="F7">
        <v>408</v>
      </c>
      <c r="G7">
        <v>72</v>
      </c>
      <c r="H7">
        <v>0</v>
      </c>
      <c r="I7" s="196">
        <f t="shared" si="0"/>
        <v>642.5</v>
      </c>
      <c r="J7" s="193"/>
    </row>
    <row r="8" spans="1:10" x14ac:dyDescent="0.25">
      <c r="A8" s="194">
        <v>46023</v>
      </c>
      <c r="B8" s="195">
        <v>77</v>
      </c>
      <c r="C8" s="195">
        <v>37</v>
      </c>
      <c r="D8">
        <f t="shared" si="1"/>
        <v>1938</v>
      </c>
      <c r="E8">
        <f t="shared" si="2"/>
        <v>100</v>
      </c>
      <c r="F8">
        <v>377</v>
      </c>
      <c r="G8">
        <v>66</v>
      </c>
      <c r="H8">
        <v>6</v>
      </c>
      <c r="I8" s="196">
        <f t="shared" si="0"/>
        <v>549</v>
      </c>
      <c r="J8" s="193"/>
    </row>
    <row r="9" spans="1:10" x14ac:dyDescent="0.25">
      <c r="A9" s="194">
        <v>37288</v>
      </c>
      <c r="B9" s="195">
        <v>63</v>
      </c>
      <c r="C9" s="195">
        <v>29</v>
      </c>
      <c r="D9">
        <f t="shared" si="1"/>
        <v>1904</v>
      </c>
      <c r="E9">
        <f t="shared" si="2"/>
        <v>85</v>
      </c>
      <c r="F9">
        <v>273</v>
      </c>
      <c r="G9">
        <v>30</v>
      </c>
      <c r="H9">
        <v>0</v>
      </c>
      <c r="I9" s="196">
        <f t="shared" si="0"/>
        <v>388</v>
      </c>
      <c r="J9" t="s">
        <v>153</v>
      </c>
    </row>
    <row r="10" spans="1:10" x14ac:dyDescent="0.25">
      <c r="A10" s="194">
        <v>39845</v>
      </c>
      <c r="B10" s="195">
        <v>75</v>
      </c>
      <c r="C10" s="195">
        <v>32</v>
      </c>
      <c r="D10">
        <f t="shared" si="1"/>
        <v>1861</v>
      </c>
      <c r="E10">
        <f t="shared" si="2"/>
        <v>107.5</v>
      </c>
      <c r="F10">
        <v>384.5</v>
      </c>
      <c r="G10">
        <v>42</v>
      </c>
      <c r="H10">
        <v>0</v>
      </c>
      <c r="I10" s="196">
        <f t="shared" si="0"/>
        <v>534</v>
      </c>
    </row>
    <row r="11" spans="1:10" x14ac:dyDescent="0.25">
      <c r="A11" s="194">
        <v>42401</v>
      </c>
      <c r="B11" s="195">
        <v>86</v>
      </c>
      <c r="C11" s="195">
        <v>60</v>
      </c>
      <c r="D11">
        <f t="shared" si="1"/>
        <v>1835</v>
      </c>
      <c r="E11">
        <f t="shared" si="2"/>
        <v>65</v>
      </c>
      <c r="F11">
        <v>369.5</v>
      </c>
      <c r="G11">
        <v>66</v>
      </c>
      <c r="H11">
        <v>3</v>
      </c>
      <c r="I11" s="196">
        <f t="shared" si="0"/>
        <v>503.5</v>
      </c>
    </row>
    <row r="12" spans="1:10" x14ac:dyDescent="0.25">
      <c r="A12" s="194">
        <v>44958</v>
      </c>
      <c r="B12" s="195">
        <v>108</v>
      </c>
      <c r="C12" s="195">
        <v>50</v>
      </c>
      <c r="D12">
        <f t="shared" si="1"/>
        <v>1777</v>
      </c>
      <c r="E12">
        <f t="shared" si="2"/>
        <v>145</v>
      </c>
      <c r="F12">
        <v>457</v>
      </c>
      <c r="G12">
        <v>84</v>
      </c>
      <c r="H12">
        <v>9</v>
      </c>
      <c r="I12" s="196">
        <f t="shared" si="0"/>
        <v>695</v>
      </c>
    </row>
    <row r="13" spans="1:10" x14ac:dyDescent="0.25">
      <c r="B13" s="193"/>
      <c r="C13" s="193"/>
      <c r="I13" s="193"/>
    </row>
    <row r="14" spans="1:10" x14ac:dyDescent="0.25">
      <c r="A14" t="s">
        <v>154</v>
      </c>
      <c r="B14" s="193">
        <f>SUM(B5:B12)</f>
        <v>588</v>
      </c>
      <c r="C14" s="193">
        <f>SUM(C5:C12)</f>
        <v>231</v>
      </c>
      <c r="D14" s="193"/>
      <c r="E14" s="193">
        <f>SUM(E5:E12)</f>
        <v>892.5</v>
      </c>
      <c r="F14" s="193">
        <f>SUM(F5:F12)</f>
        <v>2884</v>
      </c>
      <c r="G14" s="193">
        <f>SUM(G5:G12)</f>
        <v>420</v>
      </c>
      <c r="H14" s="193">
        <f>SUM(H5:H12)</f>
        <v>18</v>
      </c>
      <c r="I14" s="193">
        <f>SUM(I5:I12)</f>
        <v>4214.5</v>
      </c>
    </row>
    <row r="15" spans="1:10" x14ac:dyDescent="0.25">
      <c r="B15" s="193"/>
      <c r="C15" s="193"/>
      <c r="D15" s="218" t="s">
        <v>155</v>
      </c>
      <c r="E15" s="218"/>
      <c r="F15" s="218"/>
      <c r="G15" s="218"/>
      <c r="H15" s="218"/>
      <c r="I15" s="193">
        <f>I14/8</f>
        <v>526.8125</v>
      </c>
    </row>
    <row r="16" spans="1:10" x14ac:dyDescent="0.25">
      <c r="B16" s="193"/>
      <c r="C16" s="193"/>
      <c r="D16" s="218" t="s">
        <v>156</v>
      </c>
      <c r="E16" s="218"/>
      <c r="F16" s="218"/>
      <c r="G16" s="218"/>
      <c r="H16" s="218"/>
      <c r="I16" s="193">
        <f>F14/8</f>
        <v>360.5</v>
      </c>
    </row>
    <row r="17" spans="2:9" x14ac:dyDescent="0.25">
      <c r="B17" s="193"/>
      <c r="C17" s="193"/>
      <c r="D17" s="218" t="s">
        <v>157</v>
      </c>
      <c r="E17" s="218"/>
      <c r="F17" s="218"/>
      <c r="G17" s="218"/>
      <c r="H17" s="218"/>
      <c r="I17" s="193">
        <f>B14-C14</f>
        <v>357</v>
      </c>
    </row>
  </sheetData>
  <mergeCells count="3">
    <mergeCell ref="D15:H15"/>
    <mergeCell ref="D16:H16"/>
    <mergeCell ref="D17:H17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Market Potential</vt:lpstr>
      <vt:lpstr>Revenue Projections</vt:lpstr>
      <vt:lpstr>Retailer Questionaire Yogurt</vt:lpstr>
      <vt:lpstr>Retailer Questionaire Milk</vt:lpstr>
      <vt:lpstr>Office Questionaire All Product</vt:lpstr>
      <vt:lpstr>onfarm store assumptions</vt:lpstr>
      <vt:lpstr>Current Sales TBCM 2013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David Thompson</cp:lastModifiedBy>
  <cp:lastPrinted>2013-03-02T03:39:24Z</cp:lastPrinted>
  <dcterms:created xsi:type="dcterms:W3CDTF">2012-02-01T18:55:44Z</dcterms:created>
  <dcterms:modified xsi:type="dcterms:W3CDTF">2017-05-19T14:33:03Z</dcterms:modified>
</cp:coreProperties>
</file>