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 defaultThemeVersion="124226"/>
  <bookViews>
    <workbookView xWindow="240" yWindow="195" windowWidth="15120" windowHeight="7950" activeTab="1"/>
  </bookViews>
  <sheets>
    <sheet name="welcome and overview" sheetId="5" r:id="rId1"/>
    <sheet name="data input worksheet" sheetId="1" r:id="rId2"/>
    <sheet name="NPV graphs 4 scenarios" sheetId="2" r:id="rId3"/>
    <sheet name="PV graphs 7 values" sheetId="4" r:id="rId4"/>
    <sheet name="table comparing options" sheetId="3" r:id="rId5"/>
  </sheets>
  <definedNames>
    <definedName name="Z_01BA463C_0EC9_4760_9AB9_6266B24C1389_.wvu.Cols" localSheetId="1" hidden="1">'data input worksheet'!$F:$F,'data input worksheet'!$H:$H</definedName>
    <definedName name="Z_09424FF3_0ADC_F248_B0A5_DA1BAD95D1DA_.wvu.Cols" localSheetId="1" hidden="1">'data input worksheet'!$A:$A,'data input worksheet'!$AP:$AP</definedName>
    <definedName name="Z_0F7CA430_D3B9_4441_B8D8_253796577FB5_.wvu.Cols" localSheetId="1" hidden="1">'data input worksheet'!$A:$A,'data input worksheet'!$AP:$AP</definedName>
    <definedName name="Z_CDC41083_D9F5_D74F_A913_DB217693A658_.wvu.Cols" localSheetId="1" hidden="1">'data input worksheet'!$A:$A,'data input worksheet'!$AP:$AP</definedName>
  </definedNames>
  <calcPr calcId="145621"/>
  <customWorkbookViews>
    <customWorkbookView name="Helen Walden - Personal View" guid="{09424FF3-0ADC-F248-B0A5-DA1BAD95D1DA}" mergeInterval="0" personalView="1" xWindow="12" yWindow="64" windowWidth="1667" windowHeight="922" activeSheetId="1"/>
    <customWorkbookView name="Hillary - Personal View" guid="{CDC41083-D9F5-D74F-A913-DB217693A658}" mergeInterval="0" personalView="1" xWindow="12" yWindow="96" windowWidth="1667" windowHeight="890" activeSheetId="5"/>
    <customWorkbookView name="Windows User - Personal View" guid="{0F7CA430-D3B9-4441-B8D8-253796577FB5}" mergeInterval="0" personalView="1" maximized="1" windowWidth="1436" windowHeight="67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3" l="1"/>
  <c r="F28" i="3"/>
  <c r="D78" i="1" l="1"/>
  <c r="E177" i="1"/>
  <c r="D177" i="1"/>
  <c r="H16" i="1"/>
  <c r="J177" i="1" s="1"/>
  <c r="J39" i="1"/>
  <c r="K39" i="1"/>
  <c r="G177" i="1"/>
  <c r="G227" i="1" s="1"/>
  <c r="Z177" i="1"/>
  <c r="Z227" i="1" s="1"/>
  <c r="E227" i="1"/>
  <c r="H13" i="1"/>
  <c r="D227" i="1"/>
  <c r="D228" i="1" s="1"/>
  <c r="C227" i="1"/>
  <c r="F227" i="1" s="1"/>
  <c r="C178" i="1"/>
  <c r="F177" i="1"/>
  <c r="C13" i="1"/>
  <c r="H177" i="1"/>
  <c r="H227" i="1" s="1"/>
  <c r="D127" i="1"/>
  <c r="E127" i="1"/>
  <c r="C128" i="1"/>
  <c r="Z127" i="1"/>
  <c r="AA127" i="1" s="1"/>
  <c r="G127" i="1"/>
  <c r="F127" i="1"/>
  <c r="E78" i="1"/>
  <c r="Z78" i="1" s="1"/>
  <c r="C17" i="1"/>
  <c r="E128" i="1" s="1"/>
  <c r="C79" i="1"/>
  <c r="H24" i="1"/>
  <c r="F78" i="1"/>
  <c r="K78" i="1"/>
  <c r="G78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2" i="1"/>
  <c r="J42" i="1"/>
  <c r="I42" i="1"/>
  <c r="H42" i="1"/>
  <c r="K41" i="1"/>
  <c r="J41" i="1"/>
  <c r="I41" i="1"/>
  <c r="H41" i="1"/>
  <c r="K40" i="1"/>
  <c r="J40" i="1"/>
  <c r="I40" i="1"/>
  <c r="H40" i="1"/>
  <c r="I39" i="1"/>
  <c r="H39" i="1"/>
  <c r="K38" i="1"/>
  <c r="J38" i="1"/>
  <c r="I38" i="1"/>
  <c r="H38" i="1"/>
  <c r="H29" i="1"/>
  <c r="H31" i="1" s="1"/>
  <c r="H28" i="1"/>
  <c r="H30" i="1" s="1"/>
  <c r="H14" i="1"/>
  <c r="D229" i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C129" i="1"/>
  <c r="C130" i="1" s="1"/>
  <c r="H22" i="1" l="1"/>
  <c r="H19" i="1" s="1"/>
  <c r="T78" i="1" s="1"/>
  <c r="H78" i="1"/>
  <c r="H20" i="1"/>
  <c r="H17" i="1" s="1"/>
  <c r="N127" i="1" s="1"/>
  <c r="H21" i="1"/>
  <c r="H18" i="1" s="1"/>
  <c r="S177" i="1" s="1"/>
  <c r="S227" i="1" s="1"/>
  <c r="I78" i="1"/>
  <c r="L177" i="1"/>
  <c r="L227" i="1" s="1"/>
  <c r="I127" i="1"/>
  <c r="E228" i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D128" i="1"/>
  <c r="O128" i="1" s="1"/>
  <c r="J127" i="1"/>
  <c r="I177" i="1"/>
  <c r="I227" i="1" s="1"/>
  <c r="K177" i="1"/>
  <c r="J227" i="1"/>
  <c r="E79" i="1"/>
  <c r="K79" i="1" s="1"/>
  <c r="M78" i="1"/>
  <c r="N78" i="1"/>
  <c r="H26" i="1"/>
  <c r="AD78" i="1" s="1"/>
  <c r="AE78" i="1" s="1"/>
  <c r="AB127" i="1"/>
  <c r="AC127" i="1" s="1"/>
  <c r="C228" i="1"/>
  <c r="C80" i="1"/>
  <c r="C81" i="1" s="1"/>
  <c r="C82" i="1" s="1"/>
  <c r="AA177" i="1"/>
  <c r="AA227" i="1" s="1"/>
  <c r="K127" i="1"/>
  <c r="H127" i="1"/>
  <c r="F128" i="1"/>
  <c r="C179" i="1"/>
  <c r="D178" i="1"/>
  <c r="E178" i="1"/>
  <c r="Z128" i="1"/>
  <c r="T128" i="1"/>
  <c r="E129" i="1"/>
  <c r="K128" i="1"/>
  <c r="C131" i="1"/>
  <c r="N177" i="1"/>
  <c r="AA78" i="1"/>
  <c r="AB78" i="1" s="1"/>
  <c r="AC78" i="1" s="1"/>
  <c r="G79" i="1"/>
  <c r="G128" i="1"/>
  <c r="G178" i="1"/>
  <c r="O78" i="1"/>
  <c r="H27" i="1"/>
  <c r="H32" i="1"/>
  <c r="F79" i="1"/>
  <c r="F178" i="1"/>
  <c r="J78" i="1"/>
  <c r="D79" i="1"/>
  <c r="T177" i="1" l="1"/>
  <c r="O127" i="1"/>
  <c r="P127" i="1"/>
  <c r="O177" i="1"/>
  <c r="O227" i="1" s="1"/>
  <c r="T127" i="1"/>
  <c r="S127" i="1"/>
  <c r="U127" i="1" s="1"/>
  <c r="Z79" i="1"/>
  <c r="AA79" i="1" s="1"/>
  <c r="AB79" i="1" s="1"/>
  <c r="AC79" i="1" s="1"/>
  <c r="T79" i="1"/>
  <c r="L127" i="1"/>
  <c r="S78" i="1"/>
  <c r="U78" i="1" s="1"/>
  <c r="S128" i="1"/>
  <c r="U128" i="1" s="1"/>
  <c r="S79" i="1"/>
  <c r="U79" i="1" s="1"/>
  <c r="M177" i="1"/>
  <c r="M227" i="1" s="1"/>
  <c r="M127" i="1"/>
  <c r="K227" i="1"/>
  <c r="J128" i="1"/>
  <c r="AD79" i="1"/>
  <c r="AE79" i="1" s="1"/>
  <c r="D129" i="1"/>
  <c r="N129" i="1" s="1"/>
  <c r="N128" i="1"/>
  <c r="AD130" i="1"/>
  <c r="AB177" i="1"/>
  <c r="AC177" i="1" s="1"/>
  <c r="AC227" i="1" s="1"/>
  <c r="V78" i="1"/>
  <c r="W78" i="1" s="1"/>
  <c r="Y78" i="1" s="1"/>
  <c r="AD177" i="1"/>
  <c r="AE177" i="1" s="1"/>
  <c r="P78" i="1"/>
  <c r="AD82" i="1"/>
  <c r="AD127" i="1"/>
  <c r="AE127" i="1" s="1"/>
  <c r="AD129" i="1"/>
  <c r="C229" i="1"/>
  <c r="F228" i="1"/>
  <c r="H178" i="1"/>
  <c r="H228" i="1" s="1"/>
  <c r="AF80" i="1"/>
  <c r="C83" i="1"/>
  <c r="AD83" i="1" s="1"/>
  <c r="AD178" i="1"/>
  <c r="AD228" i="1" s="1"/>
  <c r="AD81" i="1"/>
  <c r="AD128" i="1"/>
  <c r="E80" i="1"/>
  <c r="AD80" i="1"/>
  <c r="AF129" i="1"/>
  <c r="AF128" i="1"/>
  <c r="G228" i="1"/>
  <c r="I178" i="1"/>
  <c r="N227" i="1"/>
  <c r="P177" i="1"/>
  <c r="J178" i="1"/>
  <c r="O178" i="1"/>
  <c r="O228" i="1" s="1"/>
  <c r="D179" i="1"/>
  <c r="N178" i="1"/>
  <c r="N228" i="1" s="1"/>
  <c r="U177" i="1"/>
  <c r="AF82" i="1"/>
  <c r="G129" i="1"/>
  <c r="I128" i="1"/>
  <c r="M128" i="1" s="1"/>
  <c r="V128" i="1" s="1"/>
  <c r="AF130" i="1"/>
  <c r="S129" i="1"/>
  <c r="K129" i="1"/>
  <c r="E130" i="1"/>
  <c r="T129" i="1"/>
  <c r="Z129" i="1"/>
  <c r="AF178" i="1"/>
  <c r="AF228" i="1" s="1"/>
  <c r="G179" i="1"/>
  <c r="F179" i="1"/>
  <c r="C180" i="1"/>
  <c r="AD179" i="1"/>
  <c r="AD229" i="1" s="1"/>
  <c r="AF179" i="1"/>
  <c r="AF229" i="1" s="1"/>
  <c r="N79" i="1"/>
  <c r="O79" i="1"/>
  <c r="J79" i="1"/>
  <c r="D80" i="1"/>
  <c r="AF127" i="1"/>
  <c r="AF78" i="1"/>
  <c r="AG78" i="1" s="1"/>
  <c r="AO78" i="1" s="1"/>
  <c r="AF81" i="1"/>
  <c r="G80" i="1"/>
  <c r="I79" i="1"/>
  <c r="M79" i="1" s="1"/>
  <c r="F129" i="1"/>
  <c r="H128" i="1"/>
  <c r="H79" i="1"/>
  <c r="F80" i="1"/>
  <c r="L78" i="1"/>
  <c r="Q78" i="1" s="1"/>
  <c r="AF177" i="1"/>
  <c r="AF79" i="1"/>
  <c r="V177" i="1"/>
  <c r="V227" i="1" s="1"/>
  <c r="T227" i="1"/>
  <c r="AD131" i="1"/>
  <c r="C132" i="1"/>
  <c r="AF131" i="1"/>
  <c r="AA128" i="1"/>
  <c r="AB128" i="1" s="1"/>
  <c r="AC128" i="1" s="1"/>
  <c r="E179" i="1"/>
  <c r="S178" i="1"/>
  <c r="S228" i="1" s="1"/>
  <c r="Z178" i="1"/>
  <c r="K178" i="1"/>
  <c r="T178" i="1"/>
  <c r="T228" i="1" s="1"/>
  <c r="Q127" i="1" l="1"/>
  <c r="R127" i="1" s="1"/>
  <c r="X127" i="1" s="1"/>
  <c r="V79" i="1"/>
  <c r="W79" i="1" s="1"/>
  <c r="Y79" i="1" s="1"/>
  <c r="AB227" i="1"/>
  <c r="V127" i="1"/>
  <c r="Y127" i="1" s="1"/>
  <c r="Q177" i="1"/>
  <c r="Q227" i="1" s="1"/>
  <c r="L128" i="1"/>
  <c r="Q128" i="1" s="1"/>
  <c r="Y128" i="1"/>
  <c r="J129" i="1"/>
  <c r="P129" i="1" s="1"/>
  <c r="P128" i="1"/>
  <c r="AD227" i="1"/>
  <c r="L178" i="1"/>
  <c r="L228" i="1" s="1"/>
  <c r="AE128" i="1"/>
  <c r="AE129" i="1" s="1"/>
  <c r="AE130" i="1" s="1"/>
  <c r="AE131" i="1" s="1"/>
  <c r="D130" i="1"/>
  <c r="O129" i="1"/>
  <c r="W128" i="1"/>
  <c r="R78" i="1"/>
  <c r="X78" i="1" s="1"/>
  <c r="C84" i="1"/>
  <c r="AD84" i="1" s="1"/>
  <c r="AE80" i="1"/>
  <c r="AE81" i="1" s="1"/>
  <c r="AE82" i="1" s="1"/>
  <c r="AE83" i="1" s="1"/>
  <c r="E81" i="1"/>
  <c r="T80" i="1"/>
  <c r="Z80" i="1"/>
  <c r="AA80" i="1" s="1"/>
  <c r="AB80" i="1" s="1"/>
  <c r="AC80" i="1" s="1"/>
  <c r="K80" i="1"/>
  <c r="S80" i="1"/>
  <c r="F229" i="1"/>
  <c r="C230" i="1"/>
  <c r="L79" i="1"/>
  <c r="Q79" i="1" s="1"/>
  <c r="AF83" i="1"/>
  <c r="AE178" i="1"/>
  <c r="AE227" i="1"/>
  <c r="AF132" i="1"/>
  <c r="C133" i="1"/>
  <c r="AD132" i="1"/>
  <c r="I80" i="1"/>
  <c r="G81" i="1"/>
  <c r="O80" i="1"/>
  <c r="D81" i="1"/>
  <c r="J80" i="1"/>
  <c r="N80" i="1"/>
  <c r="I179" i="1"/>
  <c r="G229" i="1"/>
  <c r="Z130" i="1"/>
  <c r="E131" i="1"/>
  <c r="T130" i="1"/>
  <c r="K130" i="1"/>
  <c r="S130" i="1"/>
  <c r="N179" i="1"/>
  <c r="N229" i="1" s="1"/>
  <c r="J179" i="1"/>
  <c r="D180" i="1"/>
  <c r="O179" i="1"/>
  <c r="O229" i="1" s="1"/>
  <c r="AG177" i="1"/>
  <c r="AG178" i="1"/>
  <c r="AF227" i="1"/>
  <c r="AG127" i="1"/>
  <c r="AO127" i="1" s="1"/>
  <c r="AG128" i="1"/>
  <c r="AG129" i="1" s="1"/>
  <c r="AG130" i="1" s="1"/>
  <c r="AG131" i="1" s="1"/>
  <c r="P79" i="1"/>
  <c r="U129" i="1"/>
  <c r="AG79" i="1"/>
  <c r="AG80" i="1" s="1"/>
  <c r="AG81" i="1" s="1"/>
  <c r="AG82" i="1" s="1"/>
  <c r="K179" i="1"/>
  <c r="T179" i="1"/>
  <c r="T229" i="1" s="1"/>
  <c r="E180" i="1"/>
  <c r="S179" i="1"/>
  <c r="S229" i="1" s="1"/>
  <c r="Z179" i="1"/>
  <c r="Q178" i="1"/>
  <c r="Q228" i="1" s="1"/>
  <c r="AD180" i="1"/>
  <c r="AD230" i="1" s="1"/>
  <c r="G180" i="1"/>
  <c r="F180" i="1"/>
  <c r="C181" i="1"/>
  <c r="AF180" i="1"/>
  <c r="AF230" i="1" s="1"/>
  <c r="AA129" i="1"/>
  <c r="AB129" i="1" s="1"/>
  <c r="AC129" i="1" s="1"/>
  <c r="W177" i="1"/>
  <c r="W227" i="1" s="1"/>
  <c r="U227" i="1"/>
  <c r="Y177" i="1"/>
  <c r="J228" i="1"/>
  <c r="P178" i="1"/>
  <c r="P227" i="1"/>
  <c r="I228" i="1"/>
  <c r="M178" i="1"/>
  <c r="AM78" i="1"/>
  <c r="AA178" i="1"/>
  <c r="AA228" i="1" s="1"/>
  <c r="Z228" i="1"/>
  <c r="H129" i="1"/>
  <c r="F130" i="1"/>
  <c r="K228" i="1"/>
  <c r="U178" i="1"/>
  <c r="H80" i="1"/>
  <c r="F81" i="1"/>
  <c r="H179" i="1"/>
  <c r="I129" i="1"/>
  <c r="M129" i="1" s="1"/>
  <c r="V129" i="1" s="1"/>
  <c r="G130" i="1"/>
  <c r="AF84" i="1"/>
  <c r="C85" i="1"/>
  <c r="W127" i="1" l="1"/>
  <c r="R177" i="1"/>
  <c r="R227" i="1" s="1"/>
  <c r="R128" i="1"/>
  <c r="X128" i="1" s="1"/>
  <c r="AP128" i="1" s="1"/>
  <c r="L129" i="1"/>
  <c r="Q129" i="1" s="1"/>
  <c r="R129" i="1" s="1"/>
  <c r="X129" i="1" s="1"/>
  <c r="J130" i="1"/>
  <c r="D131" i="1"/>
  <c r="O130" i="1"/>
  <c r="N130" i="1"/>
  <c r="L80" i="1"/>
  <c r="Q80" i="1" s="1"/>
  <c r="M80" i="1"/>
  <c r="V80" i="1" s="1"/>
  <c r="AM128" i="1"/>
  <c r="AE84" i="1"/>
  <c r="U80" i="1"/>
  <c r="AN165" i="1"/>
  <c r="AN134" i="1"/>
  <c r="AN153" i="1"/>
  <c r="AN130" i="1"/>
  <c r="AN166" i="1"/>
  <c r="AN128" i="1"/>
  <c r="AN135" i="1"/>
  <c r="AL127" i="1"/>
  <c r="AJ127" i="1" s="1"/>
  <c r="AN160" i="1"/>
  <c r="AN162" i="1"/>
  <c r="AN139" i="1"/>
  <c r="AN148" i="1"/>
  <c r="AN159" i="1"/>
  <c r="AN129" i="1"/>
  <c r="AN141" i="1"/>
  <c r="AN142" i="1"/>
  <c r="AN133" i="1"/>
  <c r="AN127" i="1"/>
  <c r="AK127" i="1" s="1"/>
  <c r="AN157" i="1"/>
  <c r="AN147" i="1"/>
  <c r="AN146" i="1"/>
  <c r="AN132" i="1"/>
  <c r="AN161" i="1"/>
  <c r="AN149" i="1"/>
  <c r="AP127" i="1"/>
  <c r="AN163" i="1"/>
  <c r="AN150" i="1"/>
  <c r="AN131" i="1"/>
  <c r="AN158" i="1"/>
  <c r="AN145" i="1"/>
  <c r="AN137" i="1"/>
  <c r="AN154" i="1"/>
  <c r="AN152" i="1"/>
  <c r="AN140" i="1"/>
  <c r="AN136" i="1"/>
  <c r="AN156" i="1"/>
  <c r="AN144" i="1"/>
  <c r="AN151" i="1"/>
  <c r="AN155" i="1"/>
  <c r="AN164" i="1"/>
  <c r="AN138" i="1"/>
  <c r="AN143" i="1"/>
  <c r="K81" i="1"/>
  <c r="S81" i="1"/>
  <c r="T81" i="1"/>
  <c r="Z81" i="1"/>
  <c r="E82" i="1"/>
  <c r="AG83" i="1"/>
  <c r="U130" i="1"/>
  <c r="AE132" i="1"/>
  <c r="F230" i="1"/>
  <c r="C231" i="1"/>
  <c r="H180" i="1"/>
  <c r="H230" i="1" s="1"/>
  <c r="AE228" i="1"/>
  <c r="AE179" i="1"/>
  <c r="AE229" i="1" s="1"/>
  <c r="AO129" i="1"/>
  <c r="AG228" i="1"/>
  <c r="AG179" i="1"/>
  <c r="AG84" i="1"/>
  <c r="R79" i="1"/>
  <c r="X79" i="1" s="1"/>
  <c r="AN92" i="1"/>
  <c r="AN108" i="1"/>
  <c r="AN85" i="1"/>
  <c r="AN101" i="1"/>
  <c r="AN117" i="1"/>
  <c r="AN94" i="1"/>
  <c r="AN110" i="1"/>
  <c r="AN83" i="1"/>
  <c r="AN95" i="1"/>
  <c r="AL78" i="1"/>
  <c r="AJ78" i="1" s="1"/>
  <c r="AN84" i="1"/>
  <c r="AN104" i="1"/>
  <c r="AN89" i="1"/>
  <c r="AN109" i="1"/>
  <c r="AN90" i="1"/>
  <c r="AN114" i="1"/>
  <c r="AN115" i="1"/>
  <c r="AN87" i="1"/>
  <c r="AN96" i="1"/>
  <c r="AN116" i="1"/>
  <c r="AN97" i="1"/>
  <c r="AN82" i="1"/>
  <c r="AN102" i="1"/>
  <c r="AN103" i="1"/>
  <c r="AN111" i="1"/>
  <c r="AN88" i="1"/>
  <c r="AN93" i="1"/>
  <c r="AN98" i="1"/>
  <c r="AN79" i="1"/>
  <c r="AN100" i="1"/>
  <c r="AN105" i="1"/>
  <c r="AN106" i="1"/>
  <c r="AN91" i="1"/>
  <c r="AN112" i="1"/>
  <c r="AN78" i="1"/>
  <c r="AK78" i="1" s="1"/>
  <c r="AN113" i="1"/>
  <c r="AN107" i="1"/>
  <c r="AN80" i="1"/>
  <c r="AP78" i="1"/>
  <c r="AN86" i="1"/>
  <c r="AN81" i="1"/>
  <c r="AN99" i="1"/>
  <c r="N180" i="1"/>
  <c r="N230" i="1" s="1"/>
  <c r="O180" i="1"/>
  <c r="O230" i="1" s="1"/>
  <c r="J180" i="1"/>
  <c r="D181" i="1"/>
  <c r="N81" i="1"/>
  <c r="O81" i="1"/>
  <c r="J81" i="1"/>
  <c r="D82" i="1"/>
  <c r="AO128" i="1"/>
  <c r="AO80" i="1"/>
  <c r="L179" i="1"/>
  <c r="H229" i="1"/>
  <c r="T131" i="1"/>
  <c r="E132" i="1"/>
  <c r="S131" i="1"/>
  <c r="Z131" i="1"/>
  <c r="K131" i="1"/>
  <c r="G82" i="1"/>
  <c r="I81" i="1"/>
  <c r="I130" i="1"/>
  <c r="M130" i="1" s="1"/>
  <c r="V130" i="1" s="1"/>
  <c r="G131" i="1"/>
  <c r="C86" i="1"/>
  <c r="AF85" i="1"/>
  <c r="AD85" i="1"/>
  <c r="U228" i="1"/>
  <c r="AB178" i="1"/>
  <c r="Y227" i="1"/>
  <c r="AM177" i="1"/>
  <c r="G230" i="1"/>
  <c r="I180" i="1"/>
  <c r="E181" i="1"/>
  <c r="S180" i="1"/>
  <c r="S230" i="1" s="1"/>
  <c r="K180" i="1"/>
  <c r="Z180" i="1"/>
  <c r="T180" i="1"/>
  <c r="T230" i="1" s="1"/>
  <c r="AG132" i="1"/>
  <c r="P179" i="1"/>
  <c r="J229" i="1"/>
  <c r="I229" i="1"/>
  <c r="M179" i="1"/>
  <c r="AD133" i="1"/>
  <c r="C134" i="1"/>
  <c r="AF133" i="1"/>
  <c r="AM79" i="1"/>
  <c r="V178" i="1"/>
  <c r="V228" i="1" s="1"/>
  <c r="M228" i="1"/>
  <c r="AM127" i="1"/>
  <c r="H81" i="1"/>
  <c r="F82" i="1"/>
  <c r="F131" i="1"/>
  <c r="H130" i="1"/>
  <c r="R178" i="1"/>
  <c r="R228" i="1" s="1"/>
  <c r="P228" i="1"/>
  <c r="F181" i="1"/>
  <c r="G181" i="1"/>
  <c r="C182" i="1"/>
  <c r="AF181" i="1"/>
  <c r="AF231" i="1" s="1"/>
  <c r="AD181" i="1"/>
  <c r="AD231" i="1" s="1"/>
  <c r="AE180" i="1"/>
  <c r="Z229" i="1"/>
  <c r="AA179" i="1"/>
  <c r="AA229" i="1" s="1"/>
  <c r="K229" i="1"/>
  <c r="U179" i="1"/>
  <c r="Y129" i="1"/>
  <c r="AM129" i="1" s="1"/>
  <c r="W129" i="1"/>
  <c r="AG227" i="1"/>
  <c r="AO177" i="1"/>
  <c r="AA130" i="1"/>
  <c r="AB130" i="1" s="1"/>
  <c r="AC130" i="1" s="1"/>
  <c r="P80" i="1"/>
  <c r="AO79" i="1"/>
  <c r="AL128" i="1" l="1"/>
  <c r="AH128" i="1" s="1"/>
  <c r="X177" i="1"/>
  <c r="AN205" i="1" s="1"/>
  <c r="AN255" i="1" s="1"/>
  <c r="W80" i="1"/>
  <c r="Y80" i="1" s="1"/>
  <c r="AM80" i="1" s="1"/>
  <c r="AI80" i="1" s="1"/>
  <c r="L180" i="1"/>
  <c r="L230" i="1" s="1"/>
  <c r="L130" i="1"/>
  <c r="Q130" i="1" s="1"/>
  <c r="AI128" i="1"/>
  <c r="AE133" i="1"/>
  <c r="U81" i="1"/>
  <c r="H181" i="1"/>
  <c r="H231" i="1" s="1"/>
  <c r="N131" i="1"/>
  <c r="O131" i="1"/>
  <c r="D132" i="1"/>
  <c r="J131" i="1"/>
  <c r="P130" i="1"/>
  <c r="AE85" i="1"/>
  <c r="U131" i="1"/>
  <c r="AH78" i="1"/>
  <c r="Y130" i="1"/>
  <c r="AM130" i="1" s="1"/>
  <c r="P81" i="1"/>
  <c r="S82" i="1"/>
  <c r="K82" i="1"/>
  <c r="E83" i="1"/>
  <c r="T82" i="1"/>
  <c r="Z82" i="1"/>
  <c r="M81" i="1"/>
  <c r="V81" i="1" s="1"/>
  <c r="AG85" i="1"/>
  <c r="AA81" i="1"/>
  <c r="AB81" i="1" s="1"/>
  <c r="AC81" i="1" s="1"/>
  <c r="AG133" i="1"/>
  <c r="F231" i="1"/>
  <c r="C232" i="1"/>
  <c r="AO130" i="1"/>
  <c r="AL79" i="1"/>
  <c r="AH79" i="1" s="1"/>
  <c r="AP79" i="1"/>
  <c r="W130" i="1"/>
  <c r="AL129" i="1"/>
  <c r="AJ129" i="1" s="1"/>
  <c r="AP129" i="1"/>
  <c r="AK79" i="1"/>
  <c r="U229" i="1"/>
  <c r="AB179" i="1"/>
  <c r="AB229" i="1" s="1"/>
  <c r="C183" i="1"/>
  <c r="AD182" i="1"/>
  <c r="AD232" i="1" s="1"/>
  <c r="F182" i="1"/>
  <c r="G182" i="1"/>
  <c r="AF182" i="1"/>
  <c r="AF232" i="1" s="1"/>
  <c r="F132" i="1"/>
  <c r="H131" i="1"/>
  <c r="C135" i="1"/>
  <c r="AD134" i="1"/>
  <c r="AF134" i="1"/>
  <c r="AA180" i="1"/>
  <c r="AA230" i="1" s="1"/>
  <c r="Z230" i="1"/>
  <c r="M180" i="1"/>
  <c r="I230" i="1"/>
  <c r="AN212" i="1"/>
  <c r="AN262" i="1" s="1"/>
  <c r="AN208" i="1"/>
  <c r="AN258" i="1" s="1"/>
  <c r="AN194" i="1"/>
  <c r="AN244" i="1" s="1"/>
  <c r="AN191" i="1"/>
  <c r="AN241" i="1" s="1"/>
  <c r="AN181" i="1"/>
  <c r="AN231" i="1" s="1"/>
  <c r="AN215" i="1"/>
  <c r="AN265" i="1" s="1"/>
  <c r="AN178" i="1"/>
  <c r="AN228" i="1" s="1"/>
  <c r="AN193" i="1"/>
  <c r="AN243" i="1" s="1"/>
  <c r="AN206" i="1"/>
  <c r="AN256" i="1" s="1"/>
  <c r="AN189" i="1"/>
  <c r="AN239" i="1" s="1"/>
  <c r="J56" i="1"/>
  <c r="AN214" i="1"/>
  <c r="AN264" i="1" s="1"/>
  <c r="AN198" i="1"/>
  <c r="AN248" i="1" s="1"/>
  <c r="AN201" i="1"/>
  <c r="AN251" i="1" s="1"/>
  <c r="AN187" i="1"/>
  <c r="AN237" i="1" s="1"/>
  <c r="X227" i="1"/>
  <c r="AN204" i="1"/>
  <c r="AN254" i="1" s="1"/>
  <c r="AN202" i="1"/>
  <c r="AN252" i="1" s="1"/>
  <c r="AN180" i="1"/>
  <c r="AN230" i="1" s="1"/>
  <c r="Y178" i="1"/>
  <c r="I131" i="1"/>
  <c r="M131" i="1" s="1"/>
  <c r="V131" i="1" s="1"/>
  <c r="G132" i="1"/>
  <c r="Q179" i="1"/>
  <c r="Q229" i="1" s="1"/>
  <c r="L229" i="1"/>
  <c r="D83" i="1"/>
  <c r="O82" i="1"/>
  <c r="J82" i="1"/>
  <c r="N82" i="1"/>
  <c r="AK129" i="1"/>
  <c r="P229" i="1"/>
  <c r="AO227" i="1"/>
  <c r="AS227" i="1" s="1"/>
  <c r="L81" i="1"/>
  <c r="Q81" i="1" s="1"/>
  <c r="AI79" i="1"/>
  <c r="M229" i="1"/>
  <c r="V179" i="1"/>
  <c r="V229" i="1" s="1"/>
  <c r="AM227" i="1"/>
  <c r="AK80" i="1"/>
  <c r="O181" i="1"/>
  <c r="O231" i="1" s="1"/>
  <c r="J181" i="1"/>
  <c r="N181" i="1"/>
  <c r="N231" i="1" s="1"/>
  <c r="D182" i="1"/>
  <c r="AI78" i="1"/>
  <c r="AG180" i="1"/>
  <c r="AG229" i="1"/>
  <c r="AE181" i="1"/>
  <c r="AE230" i="1"/>
  <c r="G231" i="1"/>
  <c r="I181" i="1"/>
  <c r="H82" i="1"/>
  <c r="F83" i="1"/>
  <c r="U180" i="1"/>
  <c r="K230" i="1"/>
  <c r="W178" i="1"/>
  <c r="W228" i="1" s="1"/>
  <c r="AF86" i="1"/>
  <c r="AD86" i="1"/>
  <c r="AE86" i="1" s="1"/>
  <c r="C87" i="1"/>
  <c r="AA131" i="1"/>
  <c r="AB131" i="1" s="1"/>
  <c r="AC131" i="1" s="1"/>
  <c r="R80" i="1"/>
  <c r="X80" i="1" s="1"/>
  <c r="AI129" i="1"/>
  <c r="X178" i="1"/>
  <c r="AI127" i="1"/>
  <c r="AH127" i="1"/>
  <c r="Z181" i="1"/>
  <c r="S181" i="1"/>
  <c r="S231" i="1" s="1"/>
  <c r="K181" i="1"/>
  <c r="E182" i="1"/>
  <c r="T181" i="1"/>
  <c r="T231" i="1" s="1"/>
  <c r="AB228" i="1"/>
  <c r="AC178" i="1"/>
  <c r="I82" i="1"/>
  <c r="G83" i="1"/>
  <c r="K132" i="1"/>
  <c r="Z132" i="1"/>
  <c r="T132" i="1"/>
  <c r="E133" i="1"/>
  <c r="S132" i="1"/>
  <c r="AK128" i="1"/>
  <c r="AJ128" i="1"/>
  <c r="P180" i="1"/>
  <c r="J230" i="1"/>
  <c r="AN195" i="1" l="1"/>
  <c r="AN245" i="1" s="1"/>
  <c r="AN177" i="1"/>
  <c r="AN227" i="1" s="1"/>
  <c r="AN182" i="1"/>
  <c r="AN232" i="1" s="1"/>
  <c r="AN196" i="1"/>
  <c r="AN246" i="1" s="1"/>
  <c r="AN183" i="1"/>
  <c r="AN233" i="1" s="1"/>
  <c r="AN200" i="1"/>
  <c r="AN250" i="1" s="1"/>
  <c r="AN211" i="1"/>
  <c r="AN261" i="1" s="1"/>
  <c r="AN179" i="1"/>
  <c r="AN229" i="1" s="1"/>
  <c r="AN186" i="1"/>
  <c r="AN210" i="1"/>
  <c r="AN260" i="1" s="1"/>
  <c r="AN184" i="1"/>
  <c r="AN234" i="1" s="1"/>
  <c r="AN203" i="1"/>
  <c r="AN253" i="1" s="1"/>
  <c r="AN185" i="1"/>
  <c r="AN235" i="1" s="1"/>
  <c r="AN213" i="1"/>
  <c r="AN263" i="1" s="1"/>
  <c r="AN209" i="1"/>
  <c r="AN259" i="1" s="1"/>
  <c r="AN216" i="1"/>
  <c r="AN266" i="1" s="1"/>
  <c r="AN197" i="1"/>
  <c r="AN247" i="1" s="1"/>
  <c r="AN207" i="1"/>
  <c r="AN257" i="1" s="1"/>
  <c r="AN199" i="1"/>
  <c r="AN249" i="1" s="1"/>
  <c r="AN190" i="1"/>
  <c r="AN240" i="1" s="1"/>
  <c r="AP177" i="1"/>
  <c r="AN188" i="1"/>
  <c r="AN238" i="1" s="1"/>
  <c r="AN192" i="1"/>
  <c r="AN242" i="1" s="1"/>
  <c r="AL177" i="1"/>
  <c r="AL227" i="1" s="1"/>
  <c r="AT227" i="1" s="1"/>
  <c r="Q180" i="1"/>
  <c r="Q230" i="1" s="1"/>
  <c r="AE134" i="1"/>
  <c r="R130" i="1"/>
  <c r="X130" i="1" s="1"/>
  <c r="AP130" i="1" s="1"/>
  <c r="W81" i="1"/>
  <c r="Y81" i="1" s="1"/>
  <c r="AM81" i="1" s="1"/>
  <c r="AI81" i="1" s="1"/>
  <c r="L131" i="1"/>
  <c r="Q131" i="1" s="1"/>
  <c r="P131" i="1"/>
  <c r="AG134" i="1"/>
  <c r="O132" i="1"/>
  <c r="N132" i="1"/>
  <c r="D133" i="1"/>
  <c r="J132" i="1"/>
  <c r="AG86" i="1"/>
  <c r="Y131" i="1"/>
  <c r="AM131" i="1" s="1"/>
  <c r="R81" i="1"/>
  <c r="X81" i="1" s="1"/>
  <c r="AP81" i="1" s="1"/>
  <c r="W131" i="1"/>
  <c r="AJ79" i="1"/>
  <c r="L82" i="1"/>
  <c r="Q82" i="1" s="1"/>
  <c r="U82" i="1"/>
  <c r="AO81" i="1"/>
  <c r="AK177" i="1"/>
  <c r="AK227" i="1" s="1"/>
  <c r="AA82" i="1"/>
  <c r="AB82" i="1" s="1"/>
  <c r="AC82" i="1" s="1"/>
  <c r="C233" i="1"/>
  <c r="F232" i="1"/>
  <c r="M82" i="1"/>
  <c r="V82" i="1" s="1"/>
  <c r="E84" i="1"/>
  <c r="K83" i="1"/>
  <c r="S83" i="1"/>
  <c r="Z83" i="1"/>
  <c r="T83" i="1"/>
  <c r="AL80" i="1"/>
  <c r="AP80" i="1"/>
  <c r="AO131" i="1"/>
  <c r="AL178" i="1"/>
  <c r="AL228" i="1" s="1"/>
  <c r="AT228" i="1" s="1"/>
  <c r="AP178" i="1"/>
  <c r="X228" i="1"/>
  <c r="C88" i="1"/>
  <c r="AD87" i="1"/>
  <c r="AE87" i="1" s="1"/>
  <c r="AF87" i="1"/>
  <c r="M181" i="1"/>
  <c r="I231" i="1"/>
  <c r="R179" i="1"/>
  <c r="Y228" i="1"/>
  <c r="AM178" i="1"/>
  <c r="C136" i="1"/>
  <c r="AD135" i="1"/>
  <c r="AE135" i="1" s="1"/>
  <c r="AF135" i="1"/>
  <c r="Y179" i="1"/>
  <c r="AK130" i="1"/>
  <c r="J231" i="1"/>
  <c r="P181" i="1"/>
  <c r="AI130" i="1"/>
  <c r="U132" i="1"/>
  <c r="E183" i="1"/>
  <c r="S182" i="1"/>
  <c r="S232" i="1" s="1"/>
  <c r="K182" i="1"/>
  <c r="Z182" i="1"/>
  <c r="T182" i="1"/>
  <c r="T232" i="1" s="1"/>
  <c r="AH129" i="1"/>
  <c r="F84" i="1"/>
  <c r="H83" i="1"/>
  <c r="AJ177" i="1"/>
  <c r="AJ227" i="1" s="1"/>
  <c r="I132" i="1"/>
  <c r="M132" i="1" s="1"/>
  <c r="V132" i="1" s="1"/>
  <c r="G133" i="1"/>
  <c r="J62" i="1"/>
  <c r="AN236" i="1"/>
  <c r="V180" i="1"/>
  <c r="V230" i="1" s="1"/>
  <c r="M230" i="1"/>
  <c r="H132" i="1"/>
  <c r="F133" i="1"/>
  <c r="I182" i="1"/>
  <c r="G232" i="1"/>
  <c r="AA132" i="1"/>
  <c r="AB132" i="1" s="1"/>
  <c r="AC132" i="1" s="1"/>
  <c r="AA181" i="1"/>
  <c r="AA231" i="1" s="1"/>
  <c r="Z231" i="1"/>
  <c r="U230" i="1"/>
  <c r="AG230" i="1"/>
  <c r="AG181" i="1"/>
  <c r="O83" i="1"/>
  <c r="D84" i="1"/>
  <c r="N83" i="1"/>
  <c r="J83" i="1"/>
  <c r="C184" i="1"/>
  <c r="AF183" i="1"/>
  <c r="AF233" i="1" s="1"/>
  <c r="G183" i="1"/>
  <c r="F183" i="1"/>
  <c r="AD183" i="1"/>
  <c r="AD233" i="1" s="1"/>
  <c r="P230" i="1"/>
  <c r="R180" i="1"/>
  <c r="R230" i="1" s="1"/>
  <c r="T133" i="1"/>
  <c r="Z133" i="1"/>
  <c r="S133" i="1"/>
  <c r="E134" i="1"/>
  <c r="K133" i="1"/>
  <c r="G84" i="1"/>
  <c r="I83" i="1"/>
  <c r="AO178" i="1"/>
  <c r="AC228" i="1"/>
  <c r="AC179" i="1"/>
  <c r="U181" i="1"/>
  <c r="K231" i="1"/>
  <c r="AE231" i="1"/>
  <c r="AE182" i="1"/>
  <c r="N182" i="1"/>
  <c r="N232" i="1" s="1"/>
  <c r="D183" i="1"/>
  <c r="O182" i="1"/>
  <c r="O232" i="1" s="1"/>
  <c r="J182" i="1"/>
  <c r="AH177" i="1"/>
  <c r="AH227" i="1" s="1"/>
  <c r="L181" i="1"/>
  <c r="AU227" i="1"/>
  <c r="P82" i="1"/>
  <c r="AB180" i="1"/>
  <c r="AB230" i="1" s="1"/>
  <c r="H182" i="1"/>
  <c r="W179" i="1"/>
  <c r="W229" i="1" s="1"/>
  <c r="AI177" i="1" l="1"/>
  <c r="AI227" i="1" s="1"/>
  <c r="AL130" i="1"/>
  <c r="AH130" i="1" s="1"/>
  <c r="AG135" i="1"/>
  <c r="AG87" i="1"/>
  <c r="L132" i="1"/>
  <c r="Q132" i="1" s="1"/>
  <c r="W82" i="1"/>
  <c r="Y82" i="1" s="1"/>
  <c r="AM82" i="1" s="1"/>
  <c r="AI82" i="1" s="1"/>
  <c r="R131" i="1"/>
  <c r="X131" i="1" s="1"/>
  <c r="AP131" i="1" s="1"/>
  <c r="AL81" i="1"/>
  <c r="AJ81" i="1" s="1"/>
  <c r="W180" i="1"/>
  <c r="W230" i="1" s="1"/>
  <c r="P132" i="1"/>
  <c r="M83" i="1"/>
  <c r="V83" i="1" s="1"/>
  <c r="O133" i="1"/>
  <c r="N133" i="1"/>
  <c r="D134" i="1"/>
  <c r="J133" i="1"/>
  <c r="U83" i="1"/>
  <c r="AK81" i="1"/>
  <c r="U133" i="1"/>
  <c r="AO82" i="1"/>
  <c r="AK82" i="1" s="1"/>
  <c r="L83" i="1"/>
  <c r="Q83" i="1" s="1"/>
  <c r="Z84" i="1"/>
  <c r="E85" i="1"/>
  <c r="K84" i="1"/>
  <c r="S84" i="1"/>
  <c r="T84" i="1"/>
  <c r="F233" i="1"/>
  <c r="C234" i="1"/>
  <c r="AA83" i="1"/>
  <c r="AB83" i="1" s="1"/>
  <c r="AC83" i="1" s="1"/>
  <c r="AO132" i="1"/>
  <c r="Y132" i="1"/>
  <c r="AM132" i="1" s="1"/>
  <c r="W132" i="1"/>
  <c r="H232" i="1"/>
  <c r="L182" i="1"/>
  <c r="L231" i="1"/>
  <c r="Q181" i="1"/>
  <c r="Q231" i="1" s="1"/>
  <c r="J232" i="1"/>
  <c r="P182" i="1"/>
  <c r="AE232" i="1"/>
  <c r="AE183" i="1"/>
  <c r="AO179" i="1"/>
  <c r="AC229" i="1"/>
  <c r="AC180" i="1"/>
  <c r="I84" i="1"/>
  <c r="G85" i="1"/>
  <c r="AA133" i="1"/>
  <c r="AB133" i="1" s="1"/>
  <c r="AC133" i="1" s="1"/>
  <c r="J84" i="1"/>
  <c r="O84" i="1"/>
  <c r="D85" i="1"/>
  <c r="N84" i="1"/>
  <c r="H133" i="1"/>
  <c r="F134" i="1"/>
  <c r="S183" i="1"/>
  <c r="S233" i="1" s="1"/>
  <c r="E184" i="1"/>
  <c r="K183" i="1"/>
  <c r="Z183" i="1"/>
  <c r="T183" i="1"/>
  <c r="T233" i="1" s="1"/>
  <c r="P231" i="1"/>
  <c r="R229" i="1"/>
  <c r="X179" i="1"/>
  <c r="Z232" i="1"/>
  <c r="AA182" i="1"/>
  <c r="AA232" i="1" s="1"/>
  <c r="AK131" i="1"/>
  <c r="R82" i="1"/>
  <c r="X82" i="1" s="1"/>
  <c r="N183" i="1"/>
  <c r="N233" i="1" s="1"/>
  <c r="J183" i="1"/>
  <c r="D184" i="1"/>
  <c r="O183" i="1"/>
  <c r="O233" i="1" s="1"/>
  <c r="AJ178" i="1"/>
  <c r="AJ228" i="1" s="1"/>
  <c r="AK178" i="1"/>
  <c r="AK228" i="1" s="1"/>
  <c r="AO228" i="1"/>
  <c r="AS228" i="1" s="1"/>
  <c r="AU228" i="1" s="1"/>
  <c r="K134" i="1"/>
  <c r="T134" i="1"/>
  <c r="S134" i="1"/>
  <c r="Z134" i="1"/>
  <c r="E135" i="1"/>
  <c r="X180" i="1"/>
  <c r="H183" i="1"/>
  <c r="P83" i="1"/>
  <c r="AG231" i="1"/>
  <c r="AG182" i="1"/>
  <c r="Y180" i="1"/>
  <c r="G134" i="1"/>
  <c r="I133" i="1"/>
  <c r="M133" i="1" s="1"/>
  <c r="V133" i="1" s="1"/>
  <c r="H84" i="1"/>
  <c r="F85" i="1"/>
  <c r="U182" i="1"/>
  <c r="K232" i="1"/>
  <c r="AM179" i="1"/>
  <c r="Y229" i="1"/>
  <c r="AH178" i="1"/>
  <c r="AH228" i="1" s="1"/>
  <c r="AI178" i="1"/>
  <c r="AI228" i="1" s="1"/>
  <c r="AM228" i="1"/>
  <c r="AD88" i="1"/>
  <c r="AE88" i="1" s="1"/>
  <c r="AF88" i="1"/>
  <c r="AG88" i="1" s="1"/>
  <c r="C89" i="1"/>
  <c r="AJ80" i="1"/>
  <c r="AH80" i="1"/>
  <c r="C185" i="1"/>
  <c r="AD184" i="1"/>
  <c r="AD234" i="1" s="1"/>
  <c r="F184" i="1"/>
  <c r="G184" i="1"/>
  <c r="AF184" i="1"/>
  <c r="AF234" i="1" s="1"/>
  <c r="C137" i="1"/>
  <c r="AD136" i="1"/>
  <c r="AE136" i="1" s="1"/>
  <c r="AF136" i="1"/>
  <c r="AG136" i="1" s="1"/>
  <c r="U231" i="1"/>
  <c r="G233" i="1"/>
  <c r="I183" i="1"/>
  <c r="AB181" i="1"/>
  <c r="AB231" i="1" s="1"/>
  <c r="I232" i="1"/>
  <c r="M182" i="1"/>
  <c r="V181" i="1"/>
  <c r="V231" i="1" s="1"/>
  <c r="M231" i="1"/>
  <c r="AI131" i="1"/>
  <c r="AJ130" i="1" l="1"/>
  <c r="AL131" i="1"/>
  <c r="AH131" i="1" s="1"/>
  <c r="AH81" i="1"/>
  <c r="R132" i="1"/>
  <c r="X132" i="1" s="1"/>
  <c r="P133" i="1"/>
  <c r="W83" i="1"/>
  <c r="Y83" i="1" s="1"/>
  <c r="AM83" i="1" s="1"/>
  <c r="AI83" i="1" s="1"/>
  <c r="L133" i="1"/>
  <c r="Q133" i="1" s="1"/>
  <c r="D135" i="1"/>
  <c r="J134" i="1"/>
  <c r="O134" i="1"/>
  <c r="N134" i="1"/>
  <c r="W133" i="1"/>
  <c r="AO83" i="1"/>
  <c r="AK83" i="1" s="1"/>
  <c r="AB182" i="1"/>
  <c r="AB232" i="1" s="1"/>
  <c r="F234" i="1"/>
  <c r="C235" i="1"/>
  <c r="U84" i="1"/>
  <c r="H184" i="1"/>
  <c r="H234" i="1" s="1"/>
  <c r="M84" i="1"/>
  <c r="V84" i="1" s="1"/>
  <c r="E86" i="1"/>
  <c r="K85" i="1"/>
  <c r="T85" i="1"/>
  <c r="S85" i="1"/>
  <c r="Z85" i="1"/>
  <c r="U134" i="1"/>
  <c r="P84" i="1"/>
  <c r="AA84" i="1"/>
  <c r="AB84" i="1" s="1"/>
  <c r="AC84" i="1" s="1"/>
  <c r="AO133" i="1"/>
  <c r="AP82" i="1"/>
  <c r="AL82" i="1"/>
  <c r="Y133" i="1"/>
  <c r="AM133" i="1" s="1"/>
  <c r="E185" i="1"/>
  <c r="Z184" i="1"/>
  <c r="K184" i="1"/>
  <c r="T184" i="1"/>
  <c r="T234" i="1" s="1"/>
  <c r="S184" i="1"/>
  <c r="S234" i="1" s="1"/>
  <c r="I233" i="1"/>
  <c r="M183" i="1"/>
  <c r="W181" i="1"/>
  <c r="W231" i="1" s="1"/>
  <c r="C186" i="1"/>
  <c r="F185" i="1"/>
  <c r="AF185" i="1"/>
  <c r="AF235" i="1" s="1"/>
  <c r="G185" i="1"/>
  <c r="AD185" i="1"/>
  <c r="AD235" i="1" s="1"/>
  <c r="U232" i="1"/>
  <c r="I134" i="1"/>
  <c r="M134" i="1" s="1"/>
  <c r="V134" i="1" s="1"/>
  <c r="G135" i="1"/>
  <c r="R83" i="1"/>
  <c r="X83" i="1" s="1"/>
  <c r="AA134" i="1"/>
  <c r="AB134" i="1" s="1"/>
  <c r="AC134" i="1" s="1"/>
  <c r="D185" i="1"/>
  <c r="N184" i="1"/>
  <c r="N234" i="1" s="1"/>
  <c r="O184" i="1"/>
  <c r="O234" i="1" s="1"/>
  <c r="J184" i="1"/>
  <c r="H134" i="1"/>
  <c r="L134" i="1" s="1"/>
  <c r="F135" i="1"/>
  <c r="AO180" i="1"/>
  <c r="AC230" i="1"/>
  <c r="AC181" i="1"/>
  <c r="AI132" i="1"/>
  <c r="C90" i="1"/>
  <c r="AF89" i="1"/>
  <c r="AG89" i="1" s="1"/>
  <c r="AD89" i="1"/>
  <c r="AE89" i="1" s="1"/>
  <c r="E136" i="1"/>
  <c r="S135" i="1"/>
  <c r="Z135" i="1"/>
  <c r="K135" i="1"/>
  <c r="T135" i="1"/>
  <c r="AE184" i="1"/>
  <c r="AE233" i="1"/>
  <c r="V182" i="1"/>
  <c r="V232" i="1" s="1"/>
  <c r="M232" i="1"/>
  <c r="Y181" i="1"/>
  <c r="C138" i="1"/>
  <c r="AF137" i="1"/>
  <c r="AG137" i="1" s="1"/>
  <c r="AD137" i="1"/>
  <c r="AE137" i="1" s="1"/>
  <c r="G234" i="1"/>
  <c r="I184" i="1"/>
  <c r="H85" i="1"/>
  <c r="F86" i="1"/>
  <c r="AM180" i="1"/>
  <c r="Y230" i="1"/>
  <c r="H233" i="1"/>
  <c r="L183" i="1"/>
  <c r="J233" i="1"/>
  <c r="P183" i="1"/>
  <c r="AP179" i="1"/>
  <c r="X229" i="1"/>
  <c r="AL179" i="1"/>
  <c r="AL229" i="1" s="1"/>
  <c r="AT229" i="1" s="1"/>
  <c r="R181" i="1"/>
  <c r="R231" i="1" s="1"/>
  <c r="AA183" i="1"/>
  <c r="AA233" i="1" s="1"/>
  <c r="Z233" i="1"/>
  <c r="D86" i="1"/>
  <c r="N85" i="1"/>
  <c r="J85" i="1"/>
  <c r="O85" i="1"/>
  <c r="P232" i="1"/>
  <c r="Q182" i="1"/>
  <c r="Q232" i="1" s="1"/>
  <c r="L232" i="1"/>
  <c r="AK132" i="1"/>
  <c r="AM229" i="1"/>
  <c r="AI179" i="1"/>
  <c r="AI229" i="1" s="1"/>
  <c r="L84" i="1"/>
  <c r="Q84" i="1" s="1"/>
  <c r="AG183" i="1"/>
  <c r="AG232" i="1"/>
  <c r="AL180" i="1"/>
  <c r="AL230" i="1" s="1"/>
  <c r="AT230" i="1" s="1"/>
  <c r="AP180" i="1"/>
  <c r="X230" i="1"/>
  <c r="U183" i="1"/>
  <c r="K233" i="1"/>
  <c r="I85" i="1"/>
  <c r="G86" i="1"/>
  <c r="AK179" i="1"/>
  <c r="AK229" i="1" s="1"/>
  <c r="AO229" i="1"/>
  <c r="AS229" i="1" s="1"/>
  <c r="AJ131" i="1" l="1"/>
  <c r="R133" i="1"/>
  <c r="X133" i="1" s="1"/>
  <c r="AP133" i="1" s="1"/>
  <c r="L184" i="1"/>
  <c r="L234" i="1" s="1"/>
  <c r="W84" i="1"/>
  <c r="P134" i="1"/>
  <c r="AL132" i="1"/>
  <c r="AP132" i="1"/>
  <c r="Q134" i="1"/>
  <c r="AJ179" i="1"/>
  <c r="AJ229" i="1" s="1"/>
  <c r="H185" i="1"/>
  <c r="H235" i="1" s="1"/>
  <c r="D136" i="1"/>
  <c r="J135" i="1"/>
  <c r="O135" i="1"/>
  <c r="N135" i="1"/>
  <c r="M85" i="1"/>
  <c r="V85" i="1" s="1"/>
  <c r="Y84" i="1"/>
  <c r="AM84" i="1" s="1"/>
  <c r="AI84" i="1" s="1"/>
  <c r="AU229" i="1"/>
  <c r="U135" i="1"/>
  <c r="W134" i="1"/>
  <c r="U85" i="1"/>
  <c r="AB183" i="1"/>
  <c r="AB233" i="1" s="1"/>
  <c r="AO84" i="1"/>
  <c r="AK84" i="1" s="1"/>
  <c r="X181" i="1"/>
  <c r="AP181" i="1" s="1"/>
  <c r="R182" i="1"/>
  <c r="R232" i="1" s="1"/>
  <c r="AA85" i="1"/>
  <c r="AB85" i="1" s="1"/>
  <c r="AC85" i="1" s="1"/>
  <c r="K86" i="1"/>
  <c r="S86" i="1"/>
  <c r="Z86" i="1"/>
  <c r="E87" i="1"/>
  <c r="T86" i="1"/>
  <c r="C236" i="1"/>
  <c r="F235" i="1"/>
  <c r="AO134" i="1"/>
  <c r="AP83" i="1"/>
  <c r="AL83" i="1"/>
  <c r="AG184" i="1"/>
  <c r="AG233" i="1"/>
  <c r="AI180" i="1"/>
  <c r="AI230" i="1" s="1"/>
  <c r="AM230" i="1"/>
  <c r="AH180" i="1"/>
  <c r="AH230" i="1" s="1"/>
  <c r="Y231" i="1"/>
  <c r="AM181" i="1"/>
  <c r="AE185" i="1"/>
  <c r="AE234" i="1"/>
  <c r="H135" i="1"/>
  <c r="F136" i="1"/>
  <c r="G235" i="1"/>
  <c r="I185" i="1"/>
  <c r="I86" i="1"/>
  <c r="G87" i="1"/>
  <c r="AH179" i="1"/>
  <c r="AH229" i="1" s="1"/>
  <c r="N86" i="1"/>
  <c r="J86" i="1"/>
  <c r="D87" i="1"/>
  <c r="O86" i="1"/>
  <c r="Q183" i="1"/>
  <c r="Q233" i="1" s="1"/>
  <c r="L233" i="1"/>
  <c r="F87" i="1"/>
  <c r="H86" i="1"/>
  <c r="AA135" i="1"/>
  <c r="AB135" i="1" s="1"/>
  <c r="AC135" i="1" s="1"/>
  <c r="AC231" i="1"/>
  <c r="AC182" i="1"/>
  <c r="AO181" i="1"/>
  <c r="D186" i="1"/>
  <c r="J185" i="1"/>
  <c r="N185" i="1"/>
  <c r="N235" i="1" s="1"/>
  <c r="O185" i="1"/>
  <c r="O235" i="1" s="1"/>
  <c r="Y182" i="1"/>
  <c r="M233" i="1"/>
  <c r="V183" i="1"/>
  <c r="V233" i="1" s="1"/>
  <c r="R84" i="1"/>
  <c r="X84" i="1" s="1"/>
  <c r="K234" i="1"/>
  <c r="U184" i="1"/>
  <c r="Y134" i="1"/>
  <c r="AM134" i="1" s="1"/>
  <c r="U233" i="1"/>
  <c r="L85" i="1"/>
  <c r="Q85" i="1" s="1"/>
  <c r="C91" i="1"/>
  <c r="AF90" i="1"/>
  <c r="AG90" i="1" s="1"/>
  <c r="AD90" i="1"/>
  <c r="AE90" i="1" s="1"/>
  <c r="J234" i="1"/>
  <c r="P184" i="1"/>
  <c r="I135" i="1"/>
  <c r="M135" i="1" s="1"/>
  <c r="V135" i="1" s="1"/>
  <c r="G136" i="1"/>
  <c r="W182" i="1"/>
  <c r="W232" i="1" s="1"/>
  <c r="Z234" i="1"/>
  <c r="AA184" i="1"/>
  <c r="AA234" i="1" s="1"/>
  <c r="AI133" i="1"/>
  <c r="AK133" i="1"/>
  <c r="P85" i="1"/>
  <c r="P233" i="1"/>
  <c r="M184" i="1"/>
  <c r="I234" i="1"/>
  <c r="C139" i="1"/>
  <c r="AF138" i="1"/>
  <c r="AG138" i="1" s="1"/>
  <c r="AD138" i="1"/>
  <c r="AE138" i="1" s="1"/>
  <c r="Z136" i="1"/>
  <c r="K136" i="1"/>
  <c r="T136" i="1"/>
  <c r="E137" i="1"/>
  <c r="S136" i="1"/>
  <c r="AO230" i="1"/>
  <c r="AS230" i="1" s="1"/>
  <c r="AU230" i="1" s="1"/>
  <c r="AJ180" i="1"/>
  <c r="AJ230" i="1" s="1"/>
  <c r="AK180" i="1"/>
  <c r="AK230" i="1" s="1"/>
  <c r="F186" i="1"/>
  <c r="AF186" i="1"/>
  <c r="AF236" i="1" s="1"/>
  <c r="C187" i="1"/>
  <c r="AD186" i="1"/>
  <c r="AD236" i="1" s="1"/>
  <c r="G186" i="1"/>
  <c r="T185" i="1"/>
  <c r="T235" i="1" s="1"/>
  <c r="E186" i="1"/>
  <c r="Z185" i="1"/>
  <c r="K185" i="1"/>
  <c r="S185" i="1"/>
  <c r="S235" i="1" s="1"/>
  <c r="AJ82" i="1"/>
  <c r="AH82" i="1"/>
  <c r="Q184" i="1" l="1"/>
  <c r="Q234" i="1" s="1"/>
  <c r="AL133" i="1"/>
  <c r="AH133" i="1" s="1"/>
  <c r="R134" i="1"/>
  <c r="X134" i="1" s="1"/>
  <c r="AL134" i="1" s="1"/>
  <c r="AJ134" i="1" s="1"/>
  <c r="L135" i="1"/>
  <c r="Q135" i="1" s="1"/>
  <c r="AH132" i="1"/>
  <c r="AJ132" i="1"/>
  <c r="N136" i="1"/>
  <c r="J136" i="1"/>
  <c r="O136" i="1"/>
  <c r="D137" i="1"/>
  <c r="W85" i="1"/>
  <c r="Y85" i="1" s="1"/>
  <c r="AM85" i="1" s="1"/>
  <c r="AI85" i="1" s="1"/>
  <c r="P135" i="1"/>
  <c r="AL181" i="1"/>
  <c r="AL231" i="1" s="1"/>
  <c r="AT231" i="1" s="1"/>
  <c r="W135" i="1"/>
  <c r="H186" i="1"/>
  <c r="P86" i="1"/>
  <c r="M86" i="1"/>
  <c r="V86" i="1" s="1"/>
  <c r="X231" i="1"/>
  <c r="AO85" i="1"/>
  <c r="AK85" i="1" s="1"/>
  <c r="F236" i="1"/>
  <c r="C237" i="1"/>
  <c r="AA86" i="1"/>
  <c r="AB86" i="1" s="1"/>
  <c r="AC86" i="1" s="1"/>
  <c r="X182" i="1"/>
  <c r="AP182" i="1" s="1"/>
  <c r="Y135" i="1"/>
  <c r="AM135" i="1" s="1"/>
  <c r="U86" i="1"/>
  <c r="U136" i="1"/>
  <c r="R183" i="1"/>
  <c r="R233" i="1" s="1"/>
  <c r="Y183" i="1"/>
  <c r="Y233" i="1" s="1"/>
  <c r="K87" i="1"/>
  <c r="Z87" i="1"/>
  <c r="T87" i="1"/>
  <c r="S87" i="1"/>
  <c r="E88" i="1"/>
  <c r="AL84" i="1"/>
  <c r="AP84" i="1"/>
  <c r="AO135" i="1"/>
  <c r="AI134" i="1"/>
  <c r="M185" i="1"/>
  <c r="I235" i="1"/>
  <c r="T137" i="1"/>
  <c r="Z137" i="1"/>
  <c r="K137" i="1"/>
  <c r="E138" i="1"/>
  <c r="S137" i="1"/>
  <c r="M234" i="1"/>
  <c r="V184" i="1"/>
  <c r="V234" i="1" s="1"/>
  <c r="R85" i="1"/>
  <c r="X85" i="1" s="1"/>
  <c r="U234" i="1"/>
  <c r="F88" i="1"/>
  <c r="H87" i="1"/>
  <c r="J87" i="1"/>
  <c r="D88" i="1"/>
  <c r="O87" i="1"/>
  <c r="N87" i="1"/>
  <c r="I87" i="1"/>
  <c r="G88" i="1"/>
  <c r="AE235" i="1"/>
  <c r="AE186" i="1"/>
  <c r="K235" i="1"/>
  <c r="U185" i="1"/>
  <c r="AM231" i="1"/>
  <c r="AI181" i="1"/>
  <c r="AI231" i="1" s="1"/>
  <c r="AD139" i="1"/>
  <c r="AE139" i="1" s="1"/>
  <c r="AF139" i="1"/>
  <c r="AG139" i="1" s="1"/>
  <c r="C140" i="1"/>
  <c r="W183" i="1"/>
  <c r="W233" i="1" s="1"/>
  <c r="J235" i="1"/>
  <c r="P185" i="1"/>
  <c r="AK181" i="1"/>
  <c r="AK231" i="1" s="1"/>
  <c r="AO231" i="1"/>
  <c r="AS231" i="1" s="1"/>
  <c r="AJ83" i="1"/>
  <c r="AH83" i="1"/>
  <c r="AK134" i="1"/>
  <c r="AD187" i="1"/>
  <c r="AD237" i="1" s="1"/>
  <c r="F187" i="1"/>
  <c r="AF187" i="1"/>
  <c r="AF237" i="1" s="1"/>
  <c r="G187" i="1"/>
  <c r="C188" i="1"/>
  <c r="I136" i="1"/>
  <c r="M136" i="1" s="1"/>
  <c r="V136" i="1" s="1"/>
  <c r="G137" i="1"/>
  <c r="Z235" i="1"/>
  <c r="AA185" i="1"/>
  <c r="AA235" i="1" s="1"/>
  <c r="K186" i="1"/>
  <c r="E187" i="1"/>
  <c r="Z186" i="1"/>
  <c r="T186" i="1"/>
  <c r="T236" i="1" s="1"/>
  <c r="S186" i="1"/>
  <c r="S236" i="1" s="1"/>
  <c r="I186" i="1"/>
  <c r="G236" i="1"/>
  <c r="H236" i="1"/>
  <c r="AA136" i="1"/>
  <c r="AB136" i="1" s="1"/>
  <c r="AC136" i="1" s="1"/>
  <c r="AB184" i="1"/>
  <c r="AB234" i="1" s="1"/>
  <c r="L185" i="1"/>
  <c r="P234" i="1"/>
  <c r="R184" i="1"/>
  <c r="R234" i="1" s="1"/>
  <c r="C92" i="1"/>
  <c r="AF91" i="1"/>
  <c r="AG91" i="1" s="1"/>
  <c r="AD91" i="1"/>
  <c r="AE91" i="1" s="1"/>
  <c r="Y232" i="1"/>
  <c r="AM182" i="1"/>
  <c r="J186" i="1"/>
  <c r="N186" i="1"/>
  <c r="N236" i="1" s="1"/>
  <c r="O186" i="1"/>
  <c r="O236" i="1" s="1"/>
  <c r="D187" i="1"/>
  <c r="AC183" i="1"/>
  <c r="AC232" i="1"/>
  <c r="AO182" i="1"/>
  <c r="L86" i="1"/>
  <c r="Q86" i="1" s="1"/>
  <c r="H136" i="1"/>
  <c r="F137" i="1"/>
  <c r="AG234" i="1"/>
  <c r="AG185" i="1"/>
  <c r="AJ133" i="1" l="1"/>
  <c r="AP134" i="1"/>
  <c r="L136" i="1"/>
  <c r="Q136" i="1" s="1"/>
  <c r="AJ181" i="1"/>
  <c r="AJ231" i="1" s="1"/>
  <c r="X232" i="1"/>
  <c r="AU231" i="1"/>
  <c r="AM183" i="1"/>
  <c r="AI183" i="1" s="1"/>
  <c r="AI233" i="1" s="1"/>
  <c r="R135" i="1"/>
  <c r="X135" i="1" s="1"/>
  <c r="AL135" i="1" s="1"/>
  <c r="AJ135" i="1" s="1"/>
  <c r="AH181" i="1"/>
  <c r="AH231" i="1" s="1"/>
  <c r="W86" i="1"/>
  <c r="Y86" i="1" s="1"/>
  <c r="AM86" i="1" s="1"/>
  <c r="AI86" i="1" s="1"/>
  <c r="AH134" i="1"/>
  <c r="O137" i="1"/>
  <c r="D138" i="1"/>
  <c r="N137" i="1"/>
  <c r="J137" i="1"/>
  <c r="P136" i="1"/>
  <c r="R86" i="1"/>
  <c r="X86" i="1" s="1"/>
  <c r="Y136" i="1"/>
  <c r="AM136" i="1" s="1"/>
  <c r="M87" i="1"/>
  <c r="V87" i="1" s="1"/>
  <c r="AA87" i="1"/>
  <c r="AB87" i="1" s="1"/>
  <c r="AC87" i="1" s="1"/>
  <c r="X183" i="1"/>
  <c r="F237" i="1"/>
  <c r="C238" i="1"/>
  <c r="AO86" i="1"/>
  <c r="AK86" i="1" s="1"/>
  <c r="AL182" i="1"/>
  <c r="AL232" i="1" s="1"/>
  <c r="AT232" i="1" s="1"/>
  <c r="Z88" i="1"/>
  <c r="S88" i="1"/>
  <c r="E89" i="1"/>
  <c r="K88" i="1"/>
  <c r="T88" i="1"/>
  <c r="U87" i="1"/>
  <c r="AO136" i="1"/>
  <c r="AP85" i="1"/>
  <c r="AL85" i="1"/>
  <c r="D188" i="1"/>
  <c r="O187" i="1"/>
  <c r="O237" i="1" s="1"/>
  <c r="J187" i="1"/>
  <c r="N187" i="1"/>
  <c r="N237" i="1" s="1"/>
  <c r="AI182" i="1"/>
  <c r="AI232" i="1" s="1"/>
  <c r="AM232" i="1"/>
  <c r="I187" i="1"/>
  <c r="G237" i="1"/>
  <c r="AG186" i="1"/>
  <c r="AG235" i="1"/>
  <c r="AO183" i="1"/>
  <c r="AC184" i="1"/>
  <c r="AC233" i="1"/>
  <c r="P186" i="1"/>
  <c r="J236" i="1"/>
  <c r="X184" i="1"/>
  <c r="L186" i="1"/>
  <c r="AB185" i="1"/>
  <c r="AB235" i="1" s="1"/>
  <c r="F188" i="1"/>
  <c r="AF188" i="1"/>
  <c r="AF238" i="1" s="1"/>
  <c r="C189" i="1"/>
  <c r="G188" i="1"/>
  <c r="AD188" i="1"/>
  <c r="AD238" i="1" s="1"/>
  <c r="L87" i="1"/>
  <c r="Q87" i="1" s="1"/>
  <c r="Y184" i="1"/>
  <c r="AA137" i="1"/>
  <c r="AB137" i="1" s="1"/>
  <c r="AC137" i="1" s="1"/>
  <c r="V185" i="1"/>
  <c r="V235" i="1" s="1"/>
  <c r="M235" i="1"/>
  <c r="H88" i="1"/>
  <c r="F89" i="1"/>
  <c r="AK182" i="1"/>
  <c r="AK232" i="1" s="1"/>
  <c r="AO232" i="1"/>
  <c r="AS232" i="1" s="1"/>
  <c r="M186" i="1"/>
  <c r="I236" i="1"/>
  <c r="S187" i="1"/>
  <c r="S237" i="1" s="1"/>
  <c r="Z187" i="1"/>
  <c r="K187" i="1"/>
  <c r="E188" i="1"/>
  <c r="T187" i="1"/>
  <c r="T237" i="1" s="1"/>
  <c r="I137" i="1"/>
  <c r="M137" i="1" s="1"/>
  <c r="V137" i="1" s="1"/>
  <c r="G138" i="1"/>
  <c r="P235" i="1"/>
  <c r="W136" i="1"/>
  <c r="U235" i="1"/>
  <c r="AE187" i="1"/>
  <c r="J58" i="1"/>
  <c r="AE236" i="1"/>
  <c r="G89" i="1"/>
  <c r="I88" i="1"/>
  <c r="D89" i="1"/>
  <c r="N88" i="1"/>
  <c r="J88" i="1"/>
  <c r="O88" i="1"/>
  <c r="W184" i="1"/>
  <c r="W234" i="1" s="1"/>
  <c r="K138" i="1"/>
  <c r="Z138" i="1"/>
  <c r="T138" i="1"/>
  <c r="E139" i="1"/>
  <c r="S138" i="1"/>
  <c r="AJ84" i="1"/>
  <c r="AH84" i="1"/>
  <c r="AA186" i="1"/>
  <c r="AA236" i="1" s="1"/>
  <c r="Z236" i="1"/>
  <c r="H137" i="1"/>
  <c r="F138" i="1"/>
  <c r="C93" i="1"/>
  <c r="AD92" i="1"/>
  <c r="AE92" i="1" s="1"/>
  <c r="AF92" i="1"/>
  <c r="AG92" i="1" s="1"/>
  <c r="L235" i="1"/>
  <c r="Q185" i="1"/>
  <c r="Q235" i="1" s="1"/>
  <c r="U186" i="1"/>
  <c r="K236" i="1"/>
  <c r="AI135" i="1"/>
  <c r="H187" i="1"/>
  <c r="AD140" i="1"/>
  <c r="AE140" i="1" s="1"/>
  <c r="C141" i="1"/>
  <c r="AF140" i="1"/>
  <c r="AG140" i="1" s="1"/>
  <c r="P87" i="1"/>
  <c r="U137" i="1"/>
  <c r="AK135" i="1"/>
  <c r="AP135" i="1" l="1"/>
  <c r="AM233" i="1"/>
  <c r="R136" i="1"/>
  <c r="X136" i="1" s="1"/>
  <c r="AL136" i="1" s="1"/>
  <c r="AU232" i="1"/>
  <c r="AH182" i="1"/>
  <c r="AH232" i="1" s="1"/>
  <c r="P137" i="1"/>
  <c r="L137" i="1"/>
  <c r="Q137" i="1" s="1"/>
  <c r="O138" i="1"/>
  <c r="N138" i="1"/>
  <c r="J138" i="1"/>
  <c r="D139" i="1"/>
  <c r="H188" i="1"/>
  <c r="H238" i="1" s="1"/>
  <c r="P88" i="1"/>
  <c r="M88" i="1"/>
  <c r="V88" i="1" s="1"/>
  <c r="AJ182" i="1"/>
  <c r="AJ232" i="1" s="1"/>
  <c r="AO87" i="1"/>
  <c r="AK87" i="1" s="1"/>
  <c r="F238" i="1"/>
  <c r="C239" i="1"/>
  <c r="W87" i="1"/>
  <c r="Y87" i="1" s="1"/>
  <c r="AM87" i="1" s="1"/>
  <c r="AI87" i="1" s="1"/>
  <c r="AA88" i="1"/>
  <c r="AB88" i="1" s="1"/>
  <c r="AC88" i="1" s="1"/>
  <c r="U88" i="1"/>
  <c r="AL183" i="1"/>
  <c r="AJ183" i="1" s="1"/>
  <c r="AJ233" i="1" s="1"/>
  <c r="AP183" i="1"/>
  <c r="X233" i="1"/>
  <c r="Z89" i="1"/>
  <c r="AA89" i="1" s="1"/>
  <c r="AB89" i="1" s="1"/>
  <c r="K89" i="1"/>
  <c r="S89" i="1"/>
  <c r="E90" i="1"/>
  <c r="T89" i="1"/>
  <c r="AO137" i="1"/>
  <c r="AP136" i="1"/>
  <c r="H237" i="1"/>
  <c r="L187" i="1"/>
  <c r="U236" i="1"/>
  <c r="T139" i="1"/>
  <c r="E140" i="1"/>
  <c r="S139" i="1"/>
  <c r="Z139" i="1"/>
  <c r="K139" i="1"/>
  <c r="D90" i="1"/>
  <c r="O89" i="1"/>
  <c r="N89" i="1"/>
  <c r="J89" i="1"/>
  <c r="S188" i="1"/>
  <c r="S238" i="1" s="1"/>
  <c r="Z188" i="1"/>
  <c r="K188" i="1"/>
  <c r="E189" i="1"/>
  <c r="T188" i="1"/>
  <c r="T238" i="1" s="1"/>
  <c r="C190" i="1"/>
  <c r="G189" i="1"/>
  <c r="F189" i="1"/>
  <c r="AF189" i="1"/>
  <c r="AF239" i="1" s="1"/>
  <c r="AD189" i="1"/>
  <c r="AD239" i="1" s="1"/>
  <c r="L236" i="1"/>
  <c r="Q186" i="1"/>
  <c r="Q236" i="1" s="1"/>
  <c r="AG236" i="1"/>
  <c r="AG187" i="1"/>
  <c r="J59" i="1"/>
  <c r="I237" i="1"/>
  <c r="M187" i="1"/>
  <c r="AJ85" i="1"/>
  <c r="AH85" i="1"/>
  <c r="AI136" i="1"/>
  <c r="F90" i="1"/>
  <c r="H89" i="1"/>
  <c r="Y234" i="1"/>
  <c r="AM184" i="1"/>
  <c r="P187" i="1"/>
  <c r="J237" i="1"/>
  <c r="R87" i="1"/>
  <c r="X87" i="1" s="1"/>
  <c r="AH135" i="1"/>
  <c r="L88" i="1"/>
  <c r="Q88" i="1" s="1"/>
  <c r="AK183" i="1"/>
  <c r="AK233" i="1" s="1"/>
  <c r="AO233" i="1"/>
  <c r="AS233" i="1" s="1"/>
  <c r="W137" i="1"/>
  <c r="Y137" i="1"/>
  <c r="AM137" i="1" s="1"/>
  <c r="AE237" i="1"/>
  <c r="AE188" i="1"/>
  <c r="G139" i="1"/>
  <c r="I138" i="1"/>
  <c r="M138" i="1" s="1"/>
  <c r="V138" i="1" s="1"/>
  <c r="K237" i="1"/>
  <c r="U187" i="1"/>
  <c r="M236" i="1"/>
  <c r="V186" i="1"/>
  <c r="V236" i="1" s="1"/>
  <c r="AP184" i="1"/>
  <c r="X234" i="1"/>
  <c r="AL184" i="1"/>
  <c r="AL234" i="1" s="1"/>
  <c r="AT234" i="1" s="1"/>
  <c r="AC185" i="1"/>
  <c r="AO184" i="1"/>
  <c r="AC234" i="1"/>
  <c r="AK136" i="1"/>
  <c r="AF93" i="1"/>
  <c r="AG93" i="1" s="1"/>
  <c r="C94" i="1"/>
  <c r="AD93" i="1"/>
  <c r="AE93" i="1" s="1"/>
  <c r="AA138" i="1"/>
  <c r="AB138" i="1" s="1"/>
  <c r="AC138" i="1" s="1"/>
  <c r="I89" i="1"/>
  <c r="G90" i="1"/>
  <c r="W185" i="1"/>
  <c r="W235" i="1" s="1"/>
  <c r="Z237" i="1"/>
  <c r="AA187" i="1"/>
  <c r="AA237" i="1" s="1"/>
  <c r="AD141" i="1"/>
  <c r="AE141" i="1" s="1"/>
  <c r="C142" i="1"/>
  <c r="AF141" i="1"/>
  <c r="AG141" i="1" s="1"/>
  <c r="F139" i="1"/>
  <c r="H138" i="1"/>
  <c r="AB186" i="1"/>
  <c r="AB236" i="1" s="1"/>
  <c r="U138" i="1"/>
  <c r="Y185" i="1"/>
  <c r="R185" i="1"/>
  <c r="R235" i="1" s="1"/>
  <c r="AP86" i="1"/>
  <c r="AL86" i="1"/>
  <c r="I188" i="1"/>
  <c r="G238" i="1"/>
  <c r="P236" i="1"/>
  <c r="N188" i="1"/>
  <c r="N238" i="1" s="1"/>
  <c r="J188" i="1"/>
  <c r="D189" i="1"/>
  <c r="O188" i="1"/>
  <c r="O238" i="1" s="1"/>
  <c r="L188" i="1" l="1"/>
  <c r="AH136" i="1"/>
  <c r="AJ136" i="1"/>
  <c r="R137" i="1"/>
  <c r="X137" i="1" s="1"/>
  <c r="AP137" i="1" s="1"/>
  <c r="W88" i="1"/>
  <c r="Y88" i="1" s="1"/>
  <c r="AM88" i="1" s="1"/>
  <c r="AI88" i="1" s="1"/>
  <c r="R186" i="1"/>
  <c r="R236" i="1" s="1"/>
  <c r="M89" i="1"/>
  <c r="V89" i="1" s="1"/>
  <c r="P138" i="1"/>
  <c r="L138" i="1"/>
  <c r="Q138" i="1" s="1"/>
  <c r="D140" i="1"/>
  <c r="N139" i="1"/>
  <c r="O139" i="1"/>
  <c r="J139" i="1"/>
  <c r="R88" i="1"/>
  <c r="X88" i="1" s="1"/>
  <c r="AL88" i="1" s="1"/>
  <c r="AO88" i="1"/>
  <c r="AK88" i="1" s="1"/>
  <c r="AC89" i="1"/>
  <c r="AO89" i="1" s="1"/>
  <c r="U89" i="1"/>
  <c r="AL233" i="1"/>
  <c r="AT233" i="1" s="1"/>
  <c r="AU233" i="1" s="1"/>
  <c r="AH183" i="1"/>
  <c r="AH233" i="1" s="1"/>
  <c r="P89" i="1"/>
  <c r="U139" i="1"/>
  <c r="S90" i="1"/>
  <c r="T90" i="1"/>
  <c r="K90" i="1"/>
  <c r="Z90" i="1"/>
  <c r="AA90" i="1" s="1"/>
  <c r="AB90" i="1" s="1"/>
  <c r="E91" i="1"/>
  <c r="C240" i="1"/>
  <c r="F239" i="1"/>
  <c r="AO138" i="1"/>
  <c r="AL87" i="1"/>
  <c r="AP87" i="1"/>
  <c r="L238" i="1"/>
  <c r="Q188" i="1"/>
  <c r="Q238" i="1" s="1"/>
  <c r="AO234" i="1"/>
  <c r="AS234" i="1" s="1"/>
  <c r="AU234" i="1" s="1"/>
  <c r="AJ184" i="1"/>
  <c r="AJ234" i="1" s="1"/>
  <c r="AK184" i="1"/>
  <c r="AK234" i="1" s="1"/>
  <c r="P237" i="1"/>
  <c r="H90" i="1"/>
  <c r="F91" i="1"/>
  <c r="H189" i="1"/>
  <c r="Z189" i="1"/>
  <c r="K189" i="1"/>
  <c r="S189" i="1"/>
  <c r="S239" i="1" s="1"/>
  <c r="T189" i="1"/>
  <c r="T239" i="1" s="1"/>
  <c r="E190" i="1"/>
  <c r="L237" i="1"/>
  <c r="Q187" i="1"/>
  <c r="Q237" i="1" s="1"/>
  <c r="AK137" i="1"/>
  <c r="I238" i="1"/>
  <c r="M188" i="1"/>
  <c r="AM185" i="1"/>
  <c r="Y235" i="1"/>
  <c r="C143" i="1"/>
  <c r="AD142" i="1"/>
  <c r="AE142" i="1" s="1"/>
  <c r="AF142" i="1"/>
  <c r="AG142" i="1" s="1"/>
  <c r="AB187" i="1"/>
  <c r="AB237" i="1" s="1"/>
  <c r="AF94" i="1"/>
  <c r="AG94" i="1" s="1"/>
  <c r="C95" i="1"/>
  <c r="AD94" i="1"/>
  <c r="AE94" i="1" s="1"/>
  <c r="AC186" i="1"/>
  <c r="AC235" i="1"/>
  <c r="AO185" i="1"/>
  <c r="AI184" i="1"/>
  <c r="AI234" i="1" s="1"/>
  <c r="AH184" i="1"/>
  <c r="AH234" i="1" s="1"/>
  <c r="AM234" i="1"/>
  <c r="G239" i="1"/>
  <c r="I189" i="1"/>
  <c r="K238" i="1"/>
  <c r="U188" i="1"/>
  <c r="AA139" i="1"/>
  <c r="AB139" i="1" s="1"/>
  <c r="AC139" i="1" s="1"/>
  <c r="AI137" i="1"/>
  <c r="D190" i="1"/>
  <c r="J189" i="1"/>
  <c r="N189" i="1"/>
  <c r="N239" i="1" s="1"/>
  <c r="O189" i="1"/>
  <c r="O239" i="1" s="1"/>
  <c r="AH86" i="1"/>
  <c r="AJ86" i="1"/>
  <c r="W138" i="1"/>
  <c r="Y138" i="1"/>
  <c r="AM138" i="1" s="1"/>
  <c r="X185" i="1"/>
  <c r="G91" i="1"/>
  <c r="I90" i="1"/>
  <c r="G140" i="1"/>
  <c r="I139" i="1"/>
  <c r="M139" i="1" s="1"/>
  <c r="V139" i="1" s="1"/>
  <c r="AG188" i="1"/>
  <c r="AG237" i="1"/>
  <c r="AF190" i="1"/>
  <c r="AF240" i="1" s="1"/>
  <c r="AD190" i="1"/>
  <c r="AD240" i="1" s="1"/>
  <c r="G190" i="1"/>
  <c r="C191" i="1"/>
  <c r="F190" i="1"/>
  <c r="Z238" i="1"/>
  <c r="AA188" i="1"/>
  <c r="AA238" i="1" s="1"/>
  <c r="W186" i="1"/>
  <c r="W236" i="1" s="1"/>
  <c r="P188" i="1"/>
  <c r="J238" i="1"/>
  <c r="F140" i="1"/>
  <c r="H139" i="1"/>
  <c r="U237" i="1"/>
  <c r="AE189" i="1"/>
  <c r="AE238" i="1"/>
  <c r="L89" i="1"/>
  <c r="Q89" i="1" s="1"/>
  <c r="M237" i="1"/>
  <c r="V187" i="1"/>
  <c r="V237" i="1" s="1"/>
  <c r="N90" i="1"/>
  <c r="J90" i="1"/>
  <c r="O90" i="1"/>
  <c r="D91" i="1"/>
  <c r="E141" i="1"/>
  <c r="Z140" i="1"/>
  <c r="K140" i="1"/>
  <c r="T140" i="1"/>
  <c r="S140" i="1"/>
  <c r="Y186" i="1"/>
  <c r="H190" i="1" l="1"/>
  <c r="P139" i="1"/>
  <c r="L139" i="1"/>
  <c r="Q139" i="1" s="1"/>
  <c r="X186" i="1"/>
  <c r="AL186" i="1" s="1"/>
  <c r="AL137" i="1"/>
  <c r="AJ137" i="1" s="1"/>
  <c r="AP88" i="1"/>
  <c r="R138" i="1"/>
  <c r="X138" i="1" s="1"/>
  <c r="AP138" i="1" s="1"/>
  <c r="AC90" i="1"/>
  <c r="AO90" i="1" s="1"/>
  <c r="W89" i="1"/>
  <c r="Y89" i="1" s="1"/>
  <c r="AM89" i="1" s="1"/>
  <c r="AI89" i="1" s="1"/>
  <c r="N140" i="1"/>
  <c r="O140" i="1"/>
  <c r="J140" i="1"/>
  <c r="D141" i="1"/>
  <c r="R89" i="1"/>
  <c r="X89" i="1" s="1"/>
  <c r="AL89" i="1" s="1"/>
  <c r="AJ89" i="1" s="1"/>
  <c r="Y139" i="1"/>
  <c r="AM139" i="1" s="1"/>
  <c r="AI139" i="1" s="1"/>
  <c r="U90" i="1"/>
  <c r="M90" i="1"/>
  <c r="V90" i="1" s="1"/>
  <c r="AH88" i="1"/>
  <c r="C241" i="1"/>
  <c r="F240" i="1"/>
  <c r="S91" i="1"/>
  <c r="Z91" i="1"/>
  <c r="AA91" i="1" s="1"/>
  <c r="AB91" i="1" s="1"/>
  <c r="K91" i="1"/>
  <c r="E92" i="1"/>
  <c r="T91" i="1"/>
  <c r="U140" i="1"/>
  <c r="AO139" i="1"/>
  <c r="AE190" i="1"/>
  <c r="AE239" i="1"/>
  <c r="G240" i="1"/>
  <c r="I190" i="1"/>
  <c r="AG238" i="1"/>
  <c r="AG189" i="1"/>
  <c r="G141" i="1"/>
  <c r="I140" i="1"/>
  <c r="M140" i="1" s="1"/>
  <c r="V140" i="1" s="1"/>
  <c r="I91" i="1"/>
  <c r="G92" i="1"/>
  <c r="J239" i="1"/>
  <c r="P189" i="1"/>
  <c r="I239" i="1"/>
  <c r="M189" i="1"/>
  <c r="AK89" i="1"/>
  <c r="AF143" i="1"/>
  <c r="AG143" i="1" s="1"/>
  <c r="AD143" i="1"/>
  <c r="AE143" i="1" s="1"/>
  <c r="C144" i="1"/>
  <c r="AM186" i="1"/>
  <c r="J61" i="1"/>
  <c r="Y236" i="1"/>
  <c r="AA140" i="1"/>
  <c r="AB140" i="1" s="1"/>
  <c r="AC140" i="1" s="1"/>
  <c r="P90" i="1"/>
  <c r="R188" i="1"/>
  <c r="R238" i="1" s="1"/>
  <c r="P238" i="1"/>
  <c r="AB188" i="1"/>
  <c r="AB238" i="1" s="1"/>
  <c r="AJ88" i="1"/>
  <c r="AP185" i="1"/>
  <c r="AL185" i="1"/>
  <c r="AL235" i="1" s="1"/>
  <c r="AT235" i="1" s="1"/>
  <c r="X235" i="1"/>
  <c r="D191" i="1"/>
  <c r="J190" i="1"/>
  <c r="L190" i="1" s="1"/>
  <c r="O190" i="1"/>
  <c r="O240" i="1" s="1"/>
  <c r="N190" i="1"/>
  <c r="N240" i="1" s="1"/>
  <c r="AO235" i="1"/>
  <c r="AS235" i="1" s="1"/>
  <c r="AK185" i="1"/>
  <c r="AK235" i="1" s="1"/>
  <c r="AP186" i="1"/>
  <c r="U189" i="1"/>
  <c r="K239" i="1"/>
  <c r="AK138" i="1"/>
  <c r="Z141" i="1"/>
  <c r="K141" i="1"/>
  <c r="E142" i="1"/>
  <c r="S141" i="1"/>
  <c r="T141" i="1"/>
  <c r="W187" i="1"/>
  <c r="W237" i="1" s="1"/>
  <c r="H240" i="1"/>
  <c r="AI138" i="1"/>
  <c r="U238" i="1"/>
  <c r="AI185" i="1"/>
  <c r="AI235" i="1" s="1"/>
  <c r="AM235" i="1"/>
  <c r="W139" i="1"/>
  <c r="S190" i="1"/>
  <c r="S240" i="1" s="1"/>
  <c r="T190" i="1"/>
  <c r="T240" i="1" s="1"/>
  <c r="K190" i="1"/>
  <c r="Z190" i="1"/>
  <c r="E191" i="1"/>
  <c r="AA189" i="1"/>
  <c r="AA239" i="1" s="1"/>
  <c r="Z239" i="1"/>
  <c r="F92" i="1"/>
  <c r="H91" i="1"/>
  <c r="R187" i="1"/>
  <c r="R237" i="1" s="1"/>
  <c r="AH87" i="1"/>
  <c r="AJ87" i="1"/>
  <c r="D92" i="1"/>
  <c r="O91" i="1"/>
  <c r="J91" i="1"/>
  <c r="N91" i="1"/>
  <c r="Y187" i="1"/>
  <c r="F141" i="1"/>
  <c r="H140" i="1"/>
  <c r="AF191" i="1"/>
  <c r="AF241" i="1" s="1"/>
  <c r="G191" i="1"/>
  <c r="F191" i="1"/>
  <c r="AD191" i="1"/>
  <c r="AD241" i="1" s="1"/>
  <c r="C192" i="1"/>
  <c r="AC187" i="1"/>
  <c r="AC236" i="1"/>
  <c r="AO186" i="1"/>
  <c r="J60" i="1"/>
  <c r="AF95" i="1"/>
  <c r="AG95" i="1" s="1"/>
  <c r="C96" i="1"/>
  <c r="AD95" i="1"/>
  <c r="AE95" i="1" s="1"/>
  <c r="V188" i="1"/>
  <c r="V238" i="1" s="1"/>
  <c r="M238" i="1"/>
  <c r="H239" i="1"/>
  <c r="L189" i="1"/>
  <c r="L90" i="1"/>
  <c r="Q90" i="1" s="1"/>
  <c r="R139" i="1" l="1"/>
  <c r="X139" i="1" s="1"/>
  <c r="AL139" i="1" s="1"/>
  <c r="AH139" i="1" s="1"/>
  <c r="J57" i="1"/>
  <c r="AL138" i="1"/>
  <c r="AJ138" i="1" s="1"/>
  <c r="X236" i="1"/>
  <c r="AC91" i="1"/>
  <c r="AO91" i="1" s="1"/>
  <c r="W90" i="1"/>
  <c r="Y90" i="1" s="1"/>
  <c r="AM90" i="1" s="1"/>
  <c r="AI90" i="1" s="1"/>
  <c r="AH137" i="1"/>
  <c r="P140" i="1"/>
  <c r="AP89" i="1"/>
  <c r="M91" i="1"/>
  <c r="V91" i="1" s="1"/>
  <c r="L140" i="1"/>
  <c r="Q140" i="1" s="1"/>
  <c r="X188" i="1"/>
  <c r="X238" i="1" s="1"/>
  <c r="J141" i="1"/>
  <c r="D142" i="1"/>
  <c r="O141" i="1"/>
  <c r="N141" i="1"/>
  <c r="Y140" i="1"/>
  <c r="AM140" i="1" s="1"/>
  <c r="H191" i="1"/>
  <c r="H241" i="1" s="1"/>
  <c r="W140" i="1"/>
  <c r="F241" i="1"/>
  <c r="C242" i="1"/>
  <c r="AH89" i="1"/>
  <c r="T92" i="1"/>
  <c r="K92" i="1"/>
  <c r="Z92" i="1"/>
  <c r="S92" i="1"/>
  <c r="E93" i="1"/>
  <c r="U91" i="1"/>
  <c r="AP139" i="1"/>
  <c r="AO140" i="1"/>
  <c r="U190" i="1"/>
  <c r="K240" i="1"/>
  <c r="J63" i="1"/>
  <c r="AL236" i="1"/>
  <c r="AT236" i="1" s="1"/>
  <c r="AD144" i="1"/>
  <c r="AE144" i="1" s="1"/>
  <c r="AF144" i="1"/>
  <c r="AG144" i="1" s="1"/>
  <c r="C145" i="1"/>
  <c r="I141" i="1"/>
  <c r="M141" i="1" s="1"/>
  <c r="V141" i="1" s="1"/>
  <c r="G142" i="1"/>
  <c r="L239" i="1"/>
  <c r="Q189" i="1"/>
  <c r="Q239" i="1" s="1"/>
  <c r="AO236" i="1"/>
  <c r="AS236" i="1" s="1"/>
  <c r="AJ186" i="1"/>
  <c r="AK186" i="1"/>
  <c r="J65" i="1"/>
  <c r="I191" i="1"/>
  <c r="G241" i="1"/>
  <c r="Y237" i="1"/>
  <c r="AM187" i="1"/>
  <c r="D93" i="1"/>
  <c r="O92" i="1"/>
  <c r="N92" i="1"/>
  <c r="J92" i="1"/>
  <c r="L91" i="1"/>
  <c r="Q91" i="1" s="1"/>
  <c r="AB189" i="1"/>
  <c r="AB239" i="1" s="1"/>
  <c r="AH185" i="1"/>
  <c r="AH235" i="1" s="1"/>
  <c r="Y188" i="1"/>
  <c r="Q190" i="1"/>
  <c r="Q240" i="1" s="1"/>
  <c r="L240" i="1"/>
  <c r="Z142" i="1"/>
  <c r="K142" i="1"/>
  <c r="T142" i="1"/>
  <c r="E143" i="1"/>
  <c r="S142" i="1"/>
  <c r="U239" i="1"/>
  <c r="AU235" i="1"/>
  <c r="J240" i="1"/>
  <c r="P190" i="1"/>
  <c r="R90" i="1"/>
  <c r="X90" i="1" s="1"/>
  <c r="M239" i="1"/>
  <c r="V189" i="1"/>
  <c r="V239" i="1" s="1"/>
  <c r="I92" i="1"/>
  <c r="G93" i="1"/>
  <c r="AG190" i="1"/>
  <c r="AG239" i="1"/>
  <c r="AK139" i="1"/>
  <c r="H141" i="1"/>
  <c r="F142" i="1"/>
  <c r="C97" i="1"/>
  <c r="AF96" i="1"/>
  <c r="AG96" i="1" s="1"/>
  <c r="AD96" i="1"/>
  <c r="AE96" i="1" s="1"/>
  <c r="C193" i="1"/>
  <c r="AD192" i="1"/>
  <c r="AD242" i="1" s="1"/>
  <c r="AF192" i="1"/>
  <c r="AF242" i="1" s="1"/>
  <c r="F192" i="1"/>
  <c r="G192" i="1"/>
  <c r="H92" i="1"/>
  <c r="F93" i="1"/>
  <c r="T191" i="1"/>
  <c r="T241" i="1" s="1"/>
  <c r="K191" i="1"/>
  <c r="Z191" i="1"/>
  <c r="E192" i="1"/>
  <c r="S191" i="1"/>
  <c r="S241" i="1" s="1"/>
  <c r="U141" i="1"/>
  <c r="AK90" i="1"/>
  <c r="AJ185" i="1"/>
  <c r="AJ235" i="1" s="1"/>
  <c r="O191" i="1"/>
  <c r="O241" i="1" s="1"/>
  <c r="D192" i="1"/>
  <c r="J191" i="1"/>
  <c r="N191" i="1"/>
  <c r="N241" i="1" s="1"/>
  <c r="J64" i="1"/>
  <c r="AM236" i="1"/>
  <c r="AI186" i="1"/>
  <c r="AH186" i="1"/>
  <c r="AE191" i="1"/>
  <c r="AE240" i="1"/>
  <c r="AC188" i="1"/>
  <c r="AO187" i="1"/>
  <c r="AC237" i="1"/>
  <c r="P91" i="1"/>
  <c r="AA190" i="1"/>
  <c r="AA240" i="1" s="1"/>
  <c r="Z240" i="1"/>
  <c r="W188" i="1"/>
  <c r="W238" i="1" s="1"/>
  <c r="AA141" i="1"/>
  <c r="AB141" i="1" s="1"/>
  <c r="AC141" i="1" s="1"/>
  <c r="X187" i="1"/>
  <c r="P239" i="1"/>
  <c r="I240" i="1"/>
  <c r="M190" i="1"/>
  <c r="AH138" i="1" l="1"/>
  <c r="AL188" i="1"/>
  <c r="AL238" i="1" s="1"/>
  <c r="AT238" i="1" s="1"/>
  <c r="R140" i="1"/>
  <c r="X140" i="1" s="1"/>
  <c r="AP140" i="1" s="1"/>
  <c r="AP188" i="1"/>
  <c r="M92" i="1"/>
  <c r="V92" i="1" s="1"/>
  <c r="L141" i="1"/>
  <c r="Q141" i="1" s="1"/>
  <c r="D143" i="1"/>
  <c r="N142" i="1"/>
  <c r="J142" i="1"/>
  <c r="O142" i="1"/>
  <c r="W189" i="1"/>
  <c r="W239" i="1" s="1"/>
  <c r="U142" i="1"/>
  <c r="P92" i="1"/>
  <c r="P141" i="1"/>
  <c r="R141" i="1" s="1"/>
  <c r="X141" i="1" s="1"/>
  <c r="AJ139" i="1"/>
  <c r="W91" i="1"/>
  <c r="Y91" i="1" s="1"/>
  <c r="AM91" i="1" s="1"/>
  <c r="AI91" i="1" s="1"/>
  <c r="E94" i="1"/>
  <c r="S93" i="1"/>
  <c r="K93" i="1"/>
  <c r="Z93" i="1"/>
  <c r="AA93" i="1" s="1"/>
  <c r="AB93" i="1" s="1"/>
  <c r="T93" i="1"/>
  <c r="AA92" i="1"/>
  <c r="AB92" i="1" s="1"/>
  <c r="AC92" i="1" s="1"/>
  <c r="AO92" i="1" s="1"/>
  <c r="F242" i="1"/>
  <c r="C243" i="1"/>
  <c r="U92" i="1"/>
  <c r="AO141" i="1"/>
  <c r="AL90" i="1"/>
  <c r="AP90" i="1"/>
  <c r="F143" i="1"/>
  <c r="H142" i="1"/>
  <c r="M240" i="1"/>
  <c r="V190" i="1"/>
  <c r="V240" i="1" s="1"/>
  <c r="O192" i="1"/>
  <c r="O242" i="1" s="1"/>
  <c r="N192" i="1"/>
  <c r="N242" i="1" s="1"/>
  <c r="D193" i="1"/>
  <c r="J192" i="1"/>
  <c r="AA191" i="1"/>
  <c r="AA241" i="1" s="1"/>
  <c r="Z241" i="1"/>
  <c r="L92" i="1"/>
  <c r="Q92" i="1" s="1"/>
  <c r="AF97" i="1"/>
  <c r="AG97" i="1" s="1"/>
  <c r="C98" i="1"/>
  <c r="AD97" i="1"/>
  <c r="AE97" i="1" s="1"/>
  <c r="P240" i="1"/>
  <c r="R190" i="1"/>
  <c r="R240" i="1" s="1"/>
  <c r="N93" i="1"/>
  <c r="D94" i="1"/>
  <c r="J93" i="1"/>
  <c r="O93" i="1"/>
  <c r="M191" i="1"/>
  <c r="I241" i="1"/>
  <c r="AU236" i="1"/>
  <c r="X237" i="1"/>
  <c r="AL187" i="1"/>
  <c r="AL237" i="1" s="1"/>
  <c r="AT237" i="1" s="1"/>
  <c r="AP187" i="1"/>
  <c r="AM188" i="1"/>
  <c r="Y238" i="1"/>
  <c r="AM237" i="1"/>
  <c r="AI187" i="1"/>
  <c r="AI237" i="1" s="1"/>
  <c r="C146" i="1"/>
  <c r="AD145" i="1"/>
  <c r="AE145" i="1" s="1"/>
  <c r="AF145" i="1"/>
  <c r="AG145" i="1" s="1"/>
  <c r="AH236" i="1"/>
  <c r="J66" i="1"/>
  <c r="H192" i="1"/>
  <c r="I93" i="1"/>
  <c r="G94" i="1"/>
  <c r="AA142" i="1"/>
  <c r="AB142" i="1" s="1"/>
  <c r="AC142" i="1" s="1"/>
  <c r="J69" i="1"/>
  <c r="AK236" i="1"/>
  <c r="AK140" i="1"/>
  <c r="Y141" i="1"/>
  <c r="AM141" i="1" s="1"/>
  <c r="W141" i="1"/>
  <c r="U191" i="1"/>
  <c r="K241" i="1"/>
  <c r="I192" i="1"/>
  <c r="G242" i="1"/>
  <c r="C194" i="1"/>
  <c r="AF193" i="1"/>
  <c r="AF243" i="1" s="1"/>
  <c r="G193" i="1"/>
  <c r="AD193" i="1"/>
  <c r="AD243" i="1" s="1"/>
  <c r="F193" i="1"/>
  <c r="AG240" i="1"/>
  <c r="AG191" i="1"/>
  <c r="U240" i="1"/>
  <c r="R189" i="1"/>
  <c r="R239" i="1" s="1"/>
  <c r="R91" i="1"/>
  <c r="X91" i="1" s="1"/>
  <c r="AO237" i="1"/>
  <c r="AS237" i="1" s="1"/>
  <c r="AK187" i="1"/>
  <c r="AK237" i="1" s="1"/>
  <c r="AK91" i="1"/>
  <c r="AB190" i="1"/>
  <c r="AB240" i="1" s="1"/>
  <c r="AO188" i="1"/>
  <c r="AC238" i="1"/>
  <c r="AC189" i="1"/>
  <c r="AE192" i="1"/>
  <c r="AE241" i="1"/>
  <c r="AI236" i="1"/>
  <c r="J67" i="1"/>
  <c r="P191" i="1"/>
  <c r="J241" i="1"/>
  <c r="S192" i="1"/>
  <c r="S242" i="1" s="1"/>
  <c r="K192" i="1"/>
  <c r="Z192" i="1"/>
  <c r="T192" i="1"/>
  <c r="T242" i="1" s="1"/>
  <c r="E193" i="1"/>
  <c r="H93" i="1"/>
  <c r="F94" i="1"/>
  <c r="Y189" i="1"/>
  <c r="E144" i="1"/>
  <c r="K143" i="1"/>
  <c r="T143" i="1"/>
  <c r="Z143" i="1"/>
  <c r="S143" i="1"/>
  <c r="AJ236" i="1"/>
  <c r="J68" i="1"/>
  <c r="I142" i="1"/>
  <c r="M142" i="1" s="1"/>
  <c r="V142" i="1" s="1"/>
  <c r="G143" i="1"/>
  <c r="AI140" i="1"/>
  <c r="L191" i="1"/>
  <c r="Y142" i="1" l="1"/>
  <c r="AL140" i="1"/>
  <c r="AH140" i="1" s="1"/>
  <c r="R92" i="1"/>
  <c r="X92" i="1" s="1"/>
  <c r="AP92" i="1" s="1"/>
  <c r="L142" i="1"/>
  <c r="Q142" i="1" s="1"/>
  <c r="L93" i="1"/>
  <c r="Q93" i="1" s="1"/>
  <c r="M93" i="1"/>
  <c r="V93" i="1" s="1"/>
  <c r="W142" i="1"/>
  <c r="AJ187" i="1"/>
  <c r="AJ237" i="1" s="1"/>
  <c r="P142" i="1"/>
  <c r="AU237" i="1"/>
  <c r="W92" i="1"/>
  <c r="Y92" i="1" s="1"/>
  <c r="AM92" i="1" s="1"/>
  <c r="AI92" i="1" s="1"/>
  <c r="D144" i="1"/>
  <c r="J143" i="1"/>
  <c r="O143" i="1"/>
  <c r="N143" i="1"/>
  <c r="P93" i="1"/>
  <c r="Z94" i="1"/>
  <c r="AA94" i="1" s="1"/>
  <c r="AB94" i="1" s="1"/>
  <c r="K94" i="1"/>
  <c r="E95" i="1"/>
  <c r="T94" i="1"/>
  <c r="S94" i="1"/>
  <c r="Y190" i="1"/>
  <c r="X189" i="1"/>
  <c r="AL189" i="1" s="1"/>
  <c r="AL239" i="1" s="1"/>
  <c r="AT239" i="1" s="1"/>
  <c r="AC93" i="1"/>
  <c r="AO93" i="1" s="1"/>
  <c r="U93" i="1"/>
  <c r="W190" i="1"/>
  <c r="W240" i="1" s="1"/>
  <c r="H193" i="1"/>
  <c r="H243" i="1" s="1"/>
  <c r="F243" i="1"/>
  <c r="C244" i="1"/>
  <c r="AO142" i="1"/>
  <c r="AL141" i="1"/>
  <c r="AH141" i="1" s="1"/>
  <c r="AP141" i="1"/>
  <c r="H94" i="1"/>
  <c r="F95" i="1"/>
  <c r="AL91" i="1"/>
  <c r="AP91" i="1"/>
  <c r="AC190" i="1"/>
  <c r="AC239" i="1"/>
  <c r="AO189" i="1"/>
  <c r="G243" i="1"/>
  <c r="I193" i="1"/>
  <c r="I242" i="1"/>
  <c r="M192" i="1"/>
  <c r="AI141" i="1"/>
  <c r="AF146" i="1"/>
  <c r="AG146" i="1" s="1"/>
  <c r="C147" i="1"/>
  <c r="AD146" i="1"/>
  <c r="AE146" i="1" s="1"/>
  <c r="X190" i="1"/>
  <c r="AK141" i="1"/>
  <c r="I143" i="1"/>
  <c r="M143" i="1" s="1"/>
  <c r="V143" i="1" s="1"/>
  <c r="G144" i="1"/>
  <c r="Z144" i="1"/>
  <c r="K144" i="1"/>
  <c r="S144" i="1"/>
  <c r="E145" i="1"/>
  <c r="T144" i="1"/>
  <c r="AA192" i="1"/>
  <c r="AA242" i="1" s="1"/>
  <c r="Z242" i="1"/>
  <c r="P241" i="1"/>
  <c r="AE193" i="1"/>
  <c r="AE242" i="1"/>
  <c r="Y240" i="1"/>
  <c r="AA143" i="1"/>
  <c r="AB143" i="1" s="1"/>
  <c r="AC143" i="1" s="1"/>
  <c r="AK92" i="1"/>
  <c r="I94" i="1"/>
  <c r="G95" i="1"/>
  <c r="AM238" i="1"/>
  <c r="AH188" i="1"/>
  <c r="AH238" i="1" s="1"/>
  <c r="AI188" i="1"/>
  <c r="AI238" i="1" s="1"/>
  <c r="J94" i="1"/>
  <c r="D95" i="1"/>
  <c r="O94" i="1"/>
  <c r="N94" i="1"/>
  <c r="J242" i="1"/>
  <c r="P192" i="1"/>
  <c r="F144" i="1"/>
  <c r="H143" i="1"/>
  <c r="H242" i="1"/>
  <c r="L192" i="1"/>
  <c r="AM142" i="1"/>
  <c r="AD98" i="1"/>
  <c r="AE98" i="1" s="1"/>
  <c r="AF98" i="1"/>
  <c r="AG98" i="1" s="1"/>
  <c r="C99" i="1"/>
  <c r="Y239" i="1"/>
  <c r="AM189" i="1"/>
  <c r="K242" i="1"/>
  <c r="U192" i="1"/>
  <c r="E194" i="1"/>
  <c r="Z193" i="1"/>
  <c r="K193" i="1"/>
  <c r="S193" i="1"/>
  <c r="S243" i="1" s="1"/>
  <c r="T193" i="1"/>
  <c r="T243" i="1" s="1"/>
  <c r="L241" i="1"/>
  <c r="Q191" i="1"/>
  <c r="Q241" i="1" s="1"/>
  <c r="U143" i="1"/>
  <c r="AJ188" i="1"/>
  <c r="AJ238" i="1" s="1"/>
  <c r="AK188" i="1"/>
  <c r="AK238" i="1" s="1"/>
  <c r="AO238" i="1"/>
  <c r="AS238" i="1" s="1"/>
  <c r="AU238" i="1" s="1"/>
  <c r="AG241" i="1"/>
  <c r="AG192" i="1"/>
  <c r="C195" i="1"/>
  <c r="AF194" i="1"/>
  <c r="AF244" i="1" s="1"/>
  <c r="AD194" i="1"/>
  <c r="AD244" i="1" s="1"/>
  <c r="F194" i="1"/>
  <c r="G194" i="1"/>
  <c r="U241" i="1"/>
  <c r="AH187" i="1"/>
  <c r="AH237" i="1" s="1"/>
  <c r="V191" i="1"/>
  <c r="V241" i="1" s="1"/>
  <c r="M241" i="1"/>
  <c r="AB191" i="1"/>
  <c r="AB241" i="1" s="1"/>
  <c r="N193" i="1"/>
  <c r="N243" i="1" s="1"/>
  <c r="D194" i="1"/>
  <c r="J193" i="1"/>
  <c r="O193" i="1"/>
  <c r="O243" i="1" s="1"/>
  <c r="AJ90" i="1"/>
  <c r="AH90" i="1"/>
  <c r="AJ140" i="1" l="1"/>
  <c r="AP189" i="1"/>
  <c r="R142" i="1"/>
  <c r="X142" i="1" s="1"/>
  <c r="AP142" i="1" s="1"/>
  <c r="X239" i="1"/>
  <c r="AJ141" i="1"/>
  <c r="AL92" i="1"/>
  <c r="AJ92" i="1" s="1"/>
  <c r="AL142" i="1"/>
  <c r="AH142" i="1" s="1"/>
  <c r="L143" i="1"/>
  <c r="Q143" i="1" s="1"/>
  <c r="W93" i="1"/>
  <c r="Y93" i="1" s="1"/>
  <c r="AM93" i="1" s="1"/>
  <c r="AI93" i="1" s="1"/>
  <c r="L193" i="1"/>
  <c r="L243" i="1" s="1"/>
  <c r="M94" i="1"/>
  <c r="V94" i="1" s="1"/>
  <c r="P143" i="1"/>
  <c r="J144" i="1"/>
  <c r="N144" i="1"/>
  <c r="O144" i="1"/>
  <c r="D145" i="1"/>
  <c r="AM190" i="1"/>
  <c r="AM240" i="1" s="1"/>
  <c r="AC94" i="1"/>
  <c r="AO94" i="1" s="1"/>
  <c r="R93" i="1"/>
  <c r="X93" i="1" s="1"/>
  <c r="L94" i="1"/>
  <c r="Q94" i="1" s="1"/>
  <c r="F244" i="1"/>
  <c r="C245" i="1"/>
  <c r="S95" i="1"/>
  <c r="Z95" i="1"/>
  <c r="AA95" i="1" s="1"/>
  <c r="AB95" i="1" s="1"/>
  <c r="E96" i="1"/>
  <c r="T95" i="1"/>
  <c r="K95" i="1"/>
  <c r="U94" i="1"/>
  <c r="P94" i="1"/>
  <c r="AO143" i="1"/>
  <c r="I194" i="1"/>
  <c r="G244" i="1"/>
  <c r="G195" i="1"/>
  <c r="C196" i="1"/>
  <c r="AD195" i="1"/>
  <c r="AD245" i="1" s="1"/>
  <c r="F195" i="1"/>
  <c r="AF195" i="1"/>
  <c r="AF245" i="1" s="1"/>
  <c r="R191" i="1"/>
  <c r="R241" i="1" s="1"/>
  <c r="W191" i="1"/>
  <c r="W241" i="1" s="1"/>
  <c r="H194" i="1"/>
  <c r="Q193" i="1"/>
  <c r="Q243" i="1" s="1"/>
  <c r="Z243" i="1"/>
  <c r="AA193" i="1"/>
  <c r="AA243" i="1" s="1"/>
  <c r="U242" i="1"/>
  <c r="AF99" i="1"/>
  <c r="AG99" i="1" s="1"/>
  <c r="C100" i="1"/>
  <c r="AD99" i="1"/>
  <c r="AE99" i="1" s="1"/>
  <c r="L242" i="1"/>
  <c r="Q192" i="1"/>
  <c r="Q242" i="1" s="1"/>
  <c r="P242" i="1"/>
  <c r="N95" i="1"/>
  <c r="O95" i="1"/>
  <c r="D96" i="1"/>
  <c r="J95" i="1"/>
  <c r="AB192" i="1"/>
  <c r="AB242" i="1" s="1"/>
  <c r="U144" i="1"/>
  <c r="AK189" i="1"/>
  <c r="AK239" i="1" s="1"/>
  <c r="AO239" i="1"/>
  <c r="AS239" i="1" s="1"/>
  <c r="AU239" i="1" s="1"/>
  <c r="AJ189" i="1"/>
  <c r="AJ239" i="1" s="1"/>
  <c r="AK142" i="1"/>
  <c r="O194" i="1"/>
  <c r="O244" i="1" s="1"/>
  <c r="D195" i="1"/>
  <c r="J194" i="1"/>
  <c r="N194" i="1"/>
  <c r="N244" i="1" s="1"/>
  <c r="H144" i="1"/>
  <c r="F145" i="1"/>
  <c r="Y191" i="1"/>
  <c r="I95" i="1"/>
  <c r="G96" i="1"/>
  <c r="AA144" i="1"/>
  <c r="AB144" i="1" s="1"/>
  <c r="AC144" i="1" s="1"/>
  <c r="I243" i="1"/>
  <c r="M193" i="1"/>
  <c r="AH91" i="1"/>
  <c r="AJ91" i="1"/>
  <c r="K243" i="1"/>
  <c r="U193" i="1"/>
  <c r="AI142" i="1"/>
  <c r="AP190" i="1"/>
  <c r="AL190" i="1"/>
  <c r="AL240" i="1" s="1"/>
  <c r="AT240" i="1" s="1"/>
  <c r="X240" i="1"/>
  <c r="C148" i="1"/>
  <c r="AD147" i="1"/>
  <c r="AE147" i="1" s="1"/>
  <c r="AF147" i="1"/>
  <c r="AG147" i="1" s="1"/>
  <c r="V192" i="1"/>
  <c r="V242" i="1" s="1"/>
  <c r="M242" i="1"/>
  <c r="AK93" i="1"/>
  <c r="E195" i="1"/>
  <c r="T194" i="1"/>
  <c r="T244" i="1" s="1"/>
  <c r="Z194" i="1"/>
  <c r="K194" i="1"/>
  <c r="S194" i="1"/>
  <c r="S244" i="1" s="1"/>
  <c r="P193" i="1"/>
  <c r="J243" i="1"/>
  <c r="AG242" i="1"/>
  <c r="AG193" i="1"/>
  <c r="W143" i="1"/>
  <c r="Y143" i="1"/>
  <c r="AM143" i="1" s="1"/>
  <c r="AI189" i="1"/>
  <c r="AI239" i="1" s="1"/>
  <c r="AH189" i="1"/>
  <c r="AH239" i="1" s="1"/>
  <c r="AM239" i="1"/>
  <c r="AE194" i="1"/>
  <c r="AE243" i="1"/>
  <c r="E146" i="1"/>
  <c r="T145" i="1"/>
  <c r="K145" i="1"/>
  <c r="Z145" i="1"/>
  <c r="S145" i="1"/>
  <c r="I144" i="1"/>
  <c r="M144" i="1" s="1"/>
  <c r="V144" i="1" s="1"/>
  <c r="G145" i="1"/>
  <c r="AC191" i="1"/>
  <c r="AC240" i="1"/>
  <c r="AO190" i="1"/>
  <c r="H95" i="1"/>
  <c r="F96" i="1"/>
  <c r="U95" i="1" l="1"/>
  <c r="AJ142" i="1"/>
  <c r="AH92" i="1"/>
  <c r="AC95" i="1"/>
  <c r="AO95" i="1" s="1"/>
  <c r="AI190" i="1"/>
  <c r="AI240" i="1" s="1"/>
  <c r="L144" i="1"/>
  <c r="Q144" i="1" s="1"/>
  <c r="W94" i="1"/>
  <c r="Y94" i="1" s="1"/>
  <c r="AM94" i="1" s="1"/>
  <c r="AI94" i="1" s="1"/>
  <c r="M95" i="1"/>
  <c r="V95" i="1" s="1"/>
  <c r="W95" i="1" s="1"/>
  <c r="Y95" i="1" s="1"/>
  <c r="AM95" i="1" s="1"/>
  <c r="R143" i="1"/>
  <c r="X143" i="1" s="1"/>
  <c r="AP143" i="1" s="1"/>
  <c r="D146" i="1"/>
  <c r="N145" i="1"/>
  <c r="O145" i="1"/>
  <c r="J145" i="1"/>
  <c r="R192" i="1"/>
  <c r="R242" i="1" s="1"/>
  <c r="R94" i="1"/>
  <c r="X94" i="1" s="1"/>
  <c r="AL94" i="1" s="1"/>
  <c r="P144" i="1"/>
  <c r="AB193" i="1"/>
  <c r="AB243" i="1" s="1"/>
  <c r="AH190" i="1"/>
  <c r="AH240" i="1" s="1"/>
  <c r="F245" i="1"/>
  <c r="C246" i="1"/>
  <c r="L95" i="1"/>
  <c r="Q95" i="1" s="1"/>
  <c r="X191" i="1"/>
  <c r="AL191" i="1" s="1"/>
  <c r="AL241" i="1" s="1"/>
  <c r="AT241" i="1" s="1"/>
  <c r="E97" i="1"/>
  <c r="Z96" i="1"/>
  <c r="K96" i="1"/>
  <c r="T96" i="1"/>
  <c r="S96" i="1"/>
  <c r="AO144" i="1"/>
  <c r="K146" i="1"/>
  <c r="E147" i="1"/>
  <c r="Z146" i="1"/>
  <c r="S146" i="1"/>
  <c r="T146" i="1"/>
  <c r="AG243" i="1"/>
  <c r="AG194" i="1"/>
  <c r="K195" i="1"/>
  <c r="E196" i="1"/>
  <c r="T195" i="1"/>
  <c r="T245" i="1" s="1"/>
  <c r="Z195" i="1"/>
  <c r="S195" i="1"/>
  <c r="S245" i="1" s="1"/>
  <c r="W144" i="1"/>
  <c r="Y144" i="1"/>
  <c r="AM144" i="1" s="1"/>
  <c r="N96" i="1"/>
  <c r="O96" i="1"/>
  <c r="J96" i="1"/>
  <c r="D97" i="1"/>
  <c r="I244" i="1"/>
  <c r="M194" i="1"/>
  <c r="AA145" i="1"/>
  <c r="AB145" i="1" s="1"/>
  <c r="AC145" i="1" s="1"/>
  <c r="U194" i="1"/>
  <c r="K244" i="1"/>
  <c r="U243" i="1"/>
  <c r="M243" i="1"/>
  <c r="V193" i="1"/>
  <c r="V243" i="1" s="1"/>
  <c r="J244" i="1"/>
  <c r="P194" i="1"/>
  <c r="AP93" i="1"/>
  <c r="AL93" i="1"/>
  <c r="C101" i="1"/>
  <c r="AD100" i="1"/>
  <c r="AE100" i="1" s="1"/>
  <c r="AF100" i="1"/>
  <c r="AG100" i="1" s="1"/>
  <c r="Y192" i="1"/>
  <c r="F196" i="1"/>
  <c r="AD196" i="1"/>
  <c r="AD246" i="1" s="1"/>
  <c r="G196" i="1"/>
  <c r="C197" i="1"/>
  <c r="AF196" i="1"/>
  <c r="AF246" i="1" s="1"/>
  <c r="H96" i="1"/>
  <c r="F97" i="1"/>
  <c r="AC192" i="1"/>
  <c r="AO191" i="1"/>
  <c r="AC241" i="1"/>
  <c r="G146" i="1"/>
  <c r="I145" i="1"/>
  <c r="M145" i="1" s="1"/>
  <c r="V145" i="1" s="1"/>
  <c r="U145" i="1"/>
  <c r="AE244" i="1"/>
  <c r="AE195" i="1"/>
  <c r="AI143" i="1"/>
  <c r="AA194" i="1"/>
  <c r="AA244" i="1" s="1"/>
  <c r="Z244" i="1"/>
  <c r="I96" i="1"/>
  <c r="M96" i="1" s="1"/>
  <c r="G97" i="1"/>
  <c r="Y241" i="1"/>
  <c r="AM191" i="1"/>
  <c r="H145" i="1"/>
  <c r="F146" i="1"/>
  <c r="D196" i="1"/>
  <c r="O195" i="1"/>
  <c r="O245" i="1" s="1"/>
  <c r="J195" i="1"/>
  <c r="N195" i="1"/>
  <c r="N245" i="1" s="1"/>
  <c r="G245" i="1"/>
  <c r="I195" i="1"/>
  <c r="AK143" i="1"/>
  <c r="AK190" i="1"/>
  <c r="AK240" i="1" s="1"/>
  <c r="AJ190" i="1"/>
  <c r="AJ240" i="1" s="1"/>
  <c r="AO240" i="1"/>
  <c r="AS240" i="1" s="1"/>
  <c r="AU240" i="1" s="1"/>
  <c r="AK94" i="1"/>
  <c r="P243" i="1"/>
  <c r="R193" i="1"/>
  <c r="R243" i="1" s="1"/>
  <c r="C149" i="1"/>
  <c r="AF148" i="1"/>
  <c r="AG148" i="1" s="1"/>
  <c r="AD148" i="1"/>
  <c r="AE148" i="1" s="1"/>
  <c r="P95" i="1"/>
  <c r="W192" i="1"/>
  <c r="W242" i="1" s="1"/>
  <c r="H244" i="1"/>
  <c r="L194" i="1"/>
  <c r="H195" i="1"/>
  <c r="AL143" i="1" l="1"/>
  <c r="AJ143" i="1" s="1"/>
  <c r="R144" i="1"/>
  <c r="X144" i="1" s="1"/>
  <c r="AP144" i="1" s="1"/>
  <c r="V96" i="1"/>
  <c r="X241" i="1"/>
  <c r="AP94" i="1"/>
  <c r="X192" i="1"/>
  <c r="AL192" i="1" s="1"/>
  <c r="AL242" i="1" s="1"/>
  <c r="AT242" i="1" s="1"/>
  <c r="AH94" i="1"/>
  <c r="AJ94" i="1"/>
  <c r="P96" i="1"/>
  <c r="P145" i="1"/>
  <c r="L145" i="1"/>
  <c r="Q145" i="1" s="1"/>
  <c r="J146" i="1"/>
  <c r="N146" i="1"/>
  <c r="O146" i="1"/>
  <c r="D147" i="1"/>
  <c r="AP191" i="1"/>
  <c r="AH143" i="1"/>
  <c r="C247" i="1"/>
  <c r="F246" i="1"/>
  <c r="K97" i="1"/>
  <c r="E98" i="1"/>
  <c r="S97" i="1"/>
  <c r="T97" i="1"/>
  <c r="Z97" i="1"/>
  <c r="AA96" i="1"/>
  <c r="AB96" i="1" s="1"/>
  <c r="AC96" i="1" s="1"/>
  <c r="AO96" i="1" s="1"/>
  <c r="L96" i="1"/>
  <c r="Q96" i="1" s="1"/>
  <c r="Y193" i="1"/>
  <c r="Y243" i="1" s="1"/>
  <c r="U96" i="1"/>
  <c r="W145" i="1"/>
  <c r="Y145" i="1"/>
  <c r="AM145" i="1" s="1"/>
  <c r="C198" i="1"/>
  <c r="F197" i="1"/>
  <c r="G197" i="1"/>
  <c r="AD197" i="1"/>
  <c r="AD247" i="1" s="1"/>
  <c r="AF197" i="1"/>
  <c r="AF247" i="1" s="1"/>
  <c r="V194" i="1"/>
  <c r="V244" i="1" s="1"/>
  <c r="M244" i="1"/>
  <c r="U195" i="1"/>
  <c r="K245" i="1"/>
  <c r="T147" i="1"/>
  <c r="S147" i="1"/>
  <c r="Z147" i="1"/>
  <c r="E148" i="1"/>
  <c r="K147" i="1"/>
  <c r="AO145" i="1"/>
  <c r="X193" i="1"/>
  <c r="AI191" i="1"/>
  <c r="AI241" i="1" s="1"/>
  <c r="AH191" i="1"/>
  <c r="AH241" i="1" s="1"/>
  <c r="AM241" i="1"/>
  <c r="AB194" i="1"/>
  <c r="AB244" i="1" s="1"/>
  <c r="I196" i="1"/>
  <c r="G246" i="1"/>
  <c r="AJ93" i="1"/>
  <c r="AH93" i="1"/>
  <c r="W193" i="1"/>
  <c r="W243" i="1" s="1"/>
  <c r="U244" i="1"/>
  <c r="Z245" i="1"/>
  <c r="AA195" i="1"/>
  <c r="AA245" i="1" s="1"/>
  <c r="AG195" i="1"/>
  <c r="AG244" i="1"/>
  <c r="U146" i="1"/>
  <c r="AI95" i="1"/>
  <c r="F98" i="1"/>
  <c r="H97" i="1"/>
  <c r="H245" i="1"/>
  <c r="L195" i="1"/>
  <c r="R95" i="1"/>
  <c r="X95" i="1" s="1"/>
  <c r="I245" i="1"/>
  <c r="M195" i="1"/>
  <c r="N196" i="1"/>
  <c r="N246" i="1" s="1"/>
  <c r="J196" i="1"/>
  <c r="D197" i="1"/>
  <c r="O196" i="1"/>
  <c r="O246" i="1" s="1"/>
  <c r="AE245" i="1"/>
  <c r="AE196" i="1"/>
  <c r="G147" i="1"/>
  <c r="I146" i="1"/>
  <c r="M146" i="1" s="1"/>
  <c r="V146" i="1" s="1"/>
  <c r="AK191" i="1"/>
  <c r="AK241" i="1" s="1"/>
  <c r="AJ191" i="1"/>
  <c r="AJ241" i="1" s="1"/>
  <c r="AO241" i="1"/>
  <c r="AS241" i="1" s="1"/>
  <c r="AU241" i="1" s="1"/>
  <c r="O97" i="1"/>
  <c r="D98" i="1"/>
  <c r="J97" i="1"/>
  <c r="N97" i="1"/>
  <c r="AI144" i="1"/>
  <c r="AK95" i="1"/>
  <c r="J245" i="1"/>
  <c r="P195" i="1"/>
  <c r="AM192" i="1"/>
  <c r="Y242" i="1"/>
  <c r="Q194" i="1"/>
  <c r="Q244" i="1" s="1"/>
  <c r="L244" i="1"/>
  <c r="AD149" i="1"/>
  <c r="AE149" i="1" s="1"/>
  <c r="AF149" i="1"/>
  <c r="AG149" i="1" s="1"/>
  <c r="C150" i="1"/>
  <c r="H146" i="1"/>
  <c r="F147" i="1"/>
  <c r="I97" i="1"/>
  <c r="G98" i="1"/>
  <c r="AC242" i="1"/>
  <c r="AO192" i="1"/>
  <c r="AC193" i="1"/>
  <c r="H196" i="1"/>
  <c r="AF101" i="1"/>
  <c r="AG101" i="1" s="1"/>
  <c r="AD101" i="1"/>
  <c r="AE101" i="1" s="1"/>
  <c r="C102" i="1"/>
  <c r="P244" i="1"/>
  <c r="S196" i="1"/>
  <c r="S246" i="1" s="1"/>
  <c r="K196" i="1"/>
  <c r="E197" i="1"/>
  <c r="T196" i="1"/>
  <c r="T246" i="1" s="1"/>
  <c r="Z196" i="1"/>
  <c r="AA146" i="1"/>
  <c r="AB146" i="1" s="1"/>
  <c r="AC146" i="1" s="1"/>
  <c r="AK144" i="1"/>
  <c r="AP192" i="1" l="1"/>
  <c r="AL144" i="1"/>
  <c r="AH144" i="1" s="1"/>
  <c r="X242" i="1"/>
  <c r="R96" i="1"/>
  <c r="X96" i="1" s="1"/>
  <c r="AP96" i="1" s="1"/>
  <c r="R145" i="1"/>
  <c r="X145" i="1" s="1"/>
  <c r="AL145" i="1" s="1"/>
  <c r="AJ145" i="1" s="1"/>
  <c r="W96" i="1"/>
  <c r="Y96" i="1" s="1"/>
  <c r="P146" i="1"/>
  <c r="O147" i="1"/>
  <c r="N147" i="1"/>
  <c r="J147" i="1"/>
  <c r="D148" i="1"/>
  <c r="L146" i="1"/>
  <c r="Q146" i="1" s="1"/>
  <c r="Y194" i="1"/>
  <c r="Y244" i="1" s="1"/>
  <c r="M97" i="1"/>
  <c r="V97" i="1" s="1"/>
  <c r="F247" i="1"/>
  <c r="C248" i="1"/>
  <c r="E99" i="1"/>
  <c r="T98" i="1"/>
  <c r="Z98" i="1"/>
  <c r="K98" i="1"/>
  <c r="S98" i="1"/>
  <c r="AM96" i="1"/>
  <c r="AI96" i="1" s="1"/>
  <c r="AA97" i="1"/>
  <c r="AB97" i="1" s="1"/>
  <c r="AC97" i="1" s="1"/>
  <c r="AO97" i="1" s="1"/>
  <c r="U97" i="1"/>
  <c r="AO146" i="1"/>
  <c r="I98" i="1"/>
  <c r="G99" i="1"/>
  <c r="AA147" i="1"/>
  <c r="AB147" i="1" s="1"/>
  <c r="AC147" i="1" s="1"/>
  <c r="U245" i="1"/>
  <c r="G247" i="1"/>
  <c r="I197" i="1"/>
  <c r="Z197" i="1"/>
  <c r="T197" i="1"/>
  <c r="T247" i="1" s="1"/>
  <c r="K197" i="1"/>
  <c r="E198" i="1"/>
  <c r="S197" i="1"/>
  <c r="S247" i="1" s="1"/>
  <c r="AF102" i="1"/>
  <c r="AG102" i="1" s="1"/>
  <c r="AD102" i="1"/>
  <c r="AE102" i="1" s="1"/>
  <c r="C103" i="1"/>
  <c r="AC243" i="1"/>
  <c r="AC194" i="1"/>
  <c r="AO193" i="1"/>
  <c r="AM193" i="1"/>
  <c r="I147" i="1"/>
  <c r="M147" i="1" s="1"/>
  <c r="V147" i="1" s="1"/>
  <c r="G148" i="1"/>
  <c r="N197" i="1"/>
  <c r="N247" i="1" s="1"/>
  <c r="J197" i="1"/>
  <c r="D198" i="1"/>
  <c r="O197" i="1"/>
  <c r="O247" i="1" s="1"/>
  <c r="I246" i="1"/>
  <c r="M196" i="1"/>
  <c r="H197" i="1"/>
  <c r="AK96" i="1"/>
  <c r="U196" i="1"/>
  <c r="K246" i="1"/>
  <c r="R194" i="1"/>
  <c r="R244" i="1" s="1"/>
  <c r="AJ192" i="1"/>
  <c r="AJ242" i="1" s="1"/>
  <c r="AO242" i="1"/>
  <c r="AS242" i="1" s="1"/>
  <c r="AU242" i="1" s="1"/>
  <c r="AK192" i="1"/>
  <c r="AK242" i="1" s="1"/>
  <c r="F148" i="1"/>
  <c r="H147" i="1"/>
  <c r="AM242" i="1"/>
  <c r="AH192" i="1"/>
  <c r="AH242" i="1" s="1"/>
  <c r="AI192" i="1"/>
  <c r="AI242" i="1" s="1"/>
  <c r="P97" i="1"/>
  <c r="AE246" i="1"/>
  <c r="AE197" i="1"/>
  <c r="P196" i="1"/>
  <c r="J246" i="1"/>
  <c r="AP95" i="1"/>
  <c r="AL95" i="1"/>
  <c r="L97" i="1"/>
  <c r="Q97" i="1" s="1"/>
  <c r="AG196" i="1"/>
  <c r="AG245" i="1"/>
  <c r="AP193" i="1"/>
  <c r="AL193" i="1"/>
  <c r="AL243" i="1" s="1"/>
  <c r="AT243" i="1" s="1"/>
  <c r="X243" i="1"/>
  <c r="U147" i="1"/>
  <c r="F198" i="1"/>
  <c r="G198" i="1"/>
  <c r="AD198" i="1"/>
  <c r="AD248" i="1" s="1"/>
  <c r="C199" i="1"/>
  <c r="AF198" i="1"/>
  <c r="AF248" i="1" s="1"/>
  <c r="Z246" i="1"/>
  <c r="AA196" i="1"/>
  <c r="AA246" i="1" s="1"/>
  <c r="P245" i="1"/>
  <c r="O98" i="1"/>
  <c r="J98" i="1"/>
  <c r="D99" i="1"/>
  <c r="N98" i="1"/>
  <c r="F99" i="1"/>
  <c r="H98" i="1"/>
  <c r="AB195" i="1"/>
  <c r="AB245" i="1" s="1"/>
  <c r="W194" i="1"/>
  <c r="W244" i="1" s="1"/>
  <c r="AK145" i="1"/>
  <c r="T148" i="1"/>
  <c r="Z148" i="1"/>
  <c r="E149" i="1"/>
  <c r="K148" i="1"/>
  <c r="S148" i="1"/>
  <c r="AI145" i="1"/>
  <c r="H246" i="1"/>
  <c r="L196" i="1"/>
  <c r="AF150" i="1"/>
  <c r="AG150" i="1" s="1"/>
  <c r="AD150" i="1"/>
  <c r="AE150" i="1" s="1"/>
  <c r="C151" i="1"/>
  <c r="V195" i="1"/>
  <c r="V245" i="1" s="1"/>
  <c r="M245" i="1"/>
  <c r="Q195" i="1"/>
  <c r="Q245" i="1" s="1"/>
  <c r="L245" i="1"/>
  <c r="W146" i="1"/>
  <c r="Y146" i="1"/>
  <c r="AM146" i="1" s="1"/>
  <c r="L147" i="1" l="1"/>
  <c r="AJ144" i="1"/>
  <c r="R146" i="1"/>
  <c r="X146" i="1" s="1"/>
  <c r="AP146" i="1" s="1"/>
  <c r="AL96" i="1"/>
  <c r="AJ96" i="1" s="1"/>
  <c r="AM194" i="1"/>
  <c r="AM244" i="1" s="1"/>
  <c r="AP145" i="1"/>
  <c r="Q147" i="1"/>
  <c r="AH96" i="1"/>
  <c r="P147" i="1"/>
  <c r="N148" i="1"/>
  <c r="O148" i="1"/>
  <c r="D149" i="1"/>
  <c r="J148" i="1"/>
  <c r="AH145" i="1"/>
  <c r="M98" i="1"/>
  <c r="V98" i="1" s="1"/>
  <c r="W97" i="1"/>
  <c r="Y97" i="1" s="1"/>
  <c r="AM97" i="1" s="1"/>
  <c r="AI97" i="1" s="1"/>
  <c r="U98" i="1"/>
  <c r="AA98" i="1"/>
  <c r="AB98" i="1" s="1"/>
  <c r="AC98" i="1" s="1"/>
  <c r="AO98" i="1" s="1"/>
  <c r="L98" i="1"/>
  <c r="Q98" i="1" s="1"/>
  <c r="AB196" i="1"/>
  <c r="AB246" i="1" s="1"/>
  <c r="Z99" i="1"/>
  <c r="E100" i="1"/>
  <c r="K99" i="1"/>
  <c r="S99" i="1"/>
  <c r="T99" i="1"/>
  <c r="R195" i="1"/>
  <c r="R245" i="1" s="1"/>
  <c r="X194" i="1"/>
  <c r="X244" i="1" s="1"/>
  <c r="Y195" i="1"/>
  <c r="Y245" i="1" s="1"/>
  <c r="C249" i="1"/>
  <c r="F248" i="1"/>
  <c r="AO147" i="1"/>
  <c r="N198" i="1"/>
  <c r="N248" i="1" s="1"/>
  <c r="J198" i="1"/>
  <c r="O198" i="1"/>
  <c r="O248" i="1" s="1"/>
  <c r="D199" i="1"/>
  <c r="AK193" i="1"/>
  <c r="AK243" i="1" s="1"/>
  <c r="AO243" i="1"/>
  <c r="AS243" i="1" s="1"/>
  <c r="AU243" i="1" s="1"/>
  <c r="AJ193" i="1"/>
  <c r="AJ243" i="1" s="1"/>
  <c r="U197" i="1"/>
  <c r="K247" i="1"/>
  <c r="AK146" i="1"/>
  <c r="O99" i="1"/>
  <c r="J99" i="1"/>
  <c r="D100" i="1"/>
  <c r="N99" i="1"/>
  <c r="H198" i="1"/>
  <c r="AG246" i="1"/>
  <c r="AG197" i="1"/>
  <c r="U246" i="1"/>
  <c r="J247" i="1"/>
  <c r="P197" i="1"/>
  <c r="U148" i="1"/>
  <c r="P98" i="1"/>
  <c r="F199" i="1"/>
  <c r="AD199" i="1"/>
  <c r="AD249" i="1" s="1"/>
  <c r="AF199" i="1"/>
  <c r="AF249" i="1" s="1"/>
  <c r="G199" i="1"/>
  <c r="C200" i="1"/>
  <c r="Y147" i="1"/>
  <c r="AM147" i="1" s="1"/>
  <c r="W147" i="1"/>
  <c r="P246" i="1"/>
  <c r="R97" i="1"/>
  <c r="X97" i="1" s="1"/>
  <c r="AA197" i="1"/>
  <c r="AA247" i="1" s="1"/>
  <c r="Z247" i="1"/>
  <c r="AK97" i="1"/>
  <c r="W195" i="1"/>
  <c r="W245" i="1" s="1"/>
  <c r="AI146" i="1"/>
  <c r="AA148" i="1"/>
  <c r="AB148" i="1" s="1"/>
  <c r="AC148" i="1" s="1"/>
  <c r="G248" i="1"/>
  <c r="I198" i="1"/>
  <c r="I247" i="1"/>
  <c r="M197" i="1"/>
  <c r="L246" i="1"/>
  <c r="Q196" i="1"/>
  <c r="Q246" i="1" s="1"/>
  <c r="H247" i="1"/>
  <c r="L197" i="1"/>
  <c r="V196" i="1"/>
  <c r="V246" i="1" s="1"/>
  <c r="M246" i="1"/>
  <c r="AM243" i="1"/>
  <c r="AH193" i="1"/>
  <c r="AH243" i="1" s="1"/>
  <c r="AI193" i="1"/>
  <c r="AI243" i="1" s="1"/>
  <c r="AC195" i="1"/>
  <c r="AC244" i="1"/>
  <c r="AO194" i="1"/>
  <c r="I99" i="1"/>
  <c r="G100" i="1"/>
  <c r="AF151" i="1"/>
  <c r="AG151" i="1" s="1"/>
  <c r="AD151" i="1"/>
  <c r="AE151" i="1" s="1"/>
  <c r="C152" i="1"/>
  <c r="E150" i="1"/>
  <c r="S149" i="1"/>
  <c r="Z149" i="1"/>
  <c r="T149" i="1"/>
  <c r="K149" i="1"/>
  <c r="H99" i="1"/>
  <c r="F100" i="1"/>
  <c r="AH95" i="1"/>
  <c r="AJ95" i="1"/>
  <c r="AE247" i="1"/>
  <c r="AE198" i="1"/>
  <c r="H148" i="1"/>
  <c r="F149" i="1"/>
  <c r="I148" i="1"/>
  <c r="M148" i="1" s="1"/>
  <c r="V148" i="1" s="1"/>
  <c r="G149" i="1"/>
  <c r="AD103" i="1"/>
  <c r="AE103" i="1" s="1"/>
  <c r="AF103" i="1"/>
  <c r="AG103" i="1" s="1"/>
  <c r="C104" i="1"/>
  <c r="Z198" i="1"/>
  <c r="S198" i="1"/>
  <c r="S248" i="1" s="1"/>
  <c r="T198" i="1"/>
  <c r="T248" i="1" s="1"/>
  <c r="E199" i="1"/>
  <c r="K198" i="1"/>
  <c r="P148" i="1" l="1"/>
  <c r="AL146" i="1"/>
  <c r="AJ146" i="1" s="1"/>
  <c r="R147" i="1"/>
  <c r="X147" i="1" s="1"/>
  <c r="AL147" i="1" s="1"/>
  <c r="AJ147" i="1" s="1"/>
  <c r="AI194" i="1"/>
  <c r="AI244" i="1" s="1"/>
  <c r="L148" i="1"/>
  <c r="Q148" i="1" s="1"/>
  <c r="R148" i="1" s="1"/>
  <c r="X148" i="1" s="1"/>
  <c r="M99" i="1"/>
  <c r="V99" i="1" s="1"/>
  <c r="L99" i="1"/>
  <c r="Q99" i="1" s="1"/>
  <c r="W98" i="1"/>
  <c r="Y98" i="1" s="1"/>
  <c r="AM98" i="1" s="1"/>
  <c r="AI98" i="1" s="1"/>
  <c r="J149" i="1"/>
  <c r="D150" i="1"/>
  <c r="N149" i="1"/>
  <c r="O149" i="1"/>
  <c r="AM195" i="1"/>
  <c r="AM245" i="1" s="1"/>
  <c r="X195" i="1"/>
  <c r="AL195" i="1" s="1"/>
  <c r="U99" i="1"/>
  <c r="AB197" i="1"/>
  <c r="AB247" i="1" s="1"/>
  <c r="AL194" i="1"/>
  <c r="AL244" i="1" s="1"/>
  <c r="AT244" i="1" s="1"/>
  <c r="S100" i="1"/>
  <c r="T100" i="1"/>
  <c r="K100" i="1"/>
  <c r="Z100" i="1"/>
  <c r="AA100" i="1" s="1"/>
  <c r="AB100" i="1" s="1"/>
  <c r="E101" i="1"/>
  <c r="AP194" i="1"/>
  <c r="F249" i="1"/>
  <c r="C250" i="1"/>
  <c r="AA99" i="1"/>
  <c r="AB99" i="1" s="1"/>
  <c r="AC99" i="1" s="1"/>
  <c r="AO148" i="1"/>
  <c r="H149" i="1"/>
  <c r="F150" i="1"/>
  <c r="AK98" i="1"/>
  <c r="AP97" i="1"/>
  <c r="AL97" i="1"/>
  <c r="R98" i="1"/>
  <c r="X98" i="1" s="1"/>
  <c r="Y196" i="1"/>
  <c r="O199" i="1"/>
  <c r="O249" i="1" s="1"/>
  <c r="N199" i="1"/>
  <c r="N249" i="1" s="1"/>
  <c r="J199" i="1"/>
  <c r="D200" i="1"/>
  <c r="U149" i="1"/>
  <c r="S150" i="1"/>
  <c r="T150" i="1"/>
  <c r="Z150" i="1"/>
  <c r="E151" i="1"/>
  <c r="K150" i="1"/>
  <c r="U150" i="1" s="1"/>
  <c r="AO244" i="1"/>
  <c r="AS244" i="1" s="1"/>
  <c r="AK194" i="1"/>
  <c r="AK244" i="1" s="1"/>
  <c r="I248" i="1"/>
  <c r="M198" i="1"/>
  <c r="AK147" i="1"/>
  <c r="E200" i="1"/>
  <c r="S199" i="1"/>
  <c r="S249" i="1" s="1"/>
  <c r="K199" i="1"/>
  <c r="T199" i="1"/>
  <c r="T249" i="1" s="1"/>
  <c r="Z199" i="1"/>
  <c r="AF104" i="1"/>
  <c r="AG104" i="1" s="1"/>
  <c r="C105" i="1"/>
  <c r="AD104" i="1"/>
  <c r="AE104" i="1" s="1"/>
  <c r="H100" i="1"/>
  <c r="F101" i="1"/>
  <c r="AA149" i="1"/>
  <c r="AB149" i="1" s="1"/>
  <c r="AC149" i="1" s="1"/>
  <c r="AO195" i="1"/>
  <c r="AC196" i="1"/>
  <c r="AC245" i="1"/>
  <c r="R196" i="1"/>
  <c r="R246" i="1" s="1"/>
  <c r="I199" i="1"/>
  <c r="G249" i="1"/>
  <c r="AG247" i="1"/>
  <c r="AG198" i="1"/>
  <c r="P99" i="1"/>
  <c r="U247" i="1"/>
  <c r="G101" i="1"/>
  <c r="I100" i="1"/>
  <c r="Q197" i="1"/>
  <c r="Q247" i="1" s="1"/>
  <c r="L247" i="1"/>
  <c r="M247" i="1"/>
  <c r="V197" i="1"/>
  <c r="V247" i="1" s="1"/>
  <c r="AI147" i="1"/>
  <c r="W148" i="1"/>
  <c r="Y148" i="1"/>
  <c r="AM148" i="1" s="1"/>
  <c r="H248" i="1"/>
  <c r="L198" i="1"/>
  <c r="K248" i="1"/>
  <c r="U198" i="1"/>
  <c r="Z248" i="1"/>
  <c r="AA198" i="1"/>
  <c r="AA248" i="1" s="1"/>
  <c r="I149" i="1"/>
  <c r="M149" i="1" s="1"/>
  <c r="V149" i="1" s="1"/>
  <c r="G150" i="1"/>
  <c r="AE248" i="1"/>
  <c r="AE199" i="1"/>
  <c r="C153" i="1"/>
  <c r="AD152" i="1"/>
  <c r="AE152" i="1" s="1"/>
  <c r="AF152" i="1"/>
  <c r="AG152" i="1" s="1"/>
  <c r="F200" i="1"/>
  <c r="G200" i="1"/>
  <c r="C201" i="1"/>
  <c r="AF200" i="1"/>
  <c r="AF250" i="1" s="1"/>
  <c r="AD200" i="1"/>
  <c r="AD250" i="1" s="1"/>
  <c r="H199" i="1"/>
  <c r="P247" i="1"/>
  <c r="W196" i="1"/>
  <c r="W246" i="1" s="1"/>
  <c r="D101" i="1"/>
  <c r="O100" i="1"/>
  <c r="J100" i="1"/>
  <c r="N100" i="1"/>
  <c r="J248" i="1"/>
  <c r="P198" i="1"/>
  <c r="AH146" i="1" l="1"/>
  <c r="AP147" i="1"/>
  <c r="AH147" i="1"/>
  <c r="AI195" i="1"/>
  <c r="AI245" i="1" s="1"/>
  <c r="W99" i="1"/>
  <c r="Y99" i="1" s="1"/>
  <c r="AM99" i="1" s="1"/>
  <c r="AI99" i="1" s="1"/>
  <c r="L149" i="1"/>
  <c r="Q149" i="1" s="1"/>
  <c r="X245" i="1"/>
  <c r="W197" i="1"/>
  <c r="W247" i="1" s="1"/>
  <c r="P149" i="1"/>
  <c r="O150" i="1"/>
  <c r="D151" i="1"/>
  <c r="J150" i="1"/>
  <c r="N150" i="1"/>
  <c r="AL245" i="1"/>
  <c r="AT245" i="1" s="1"/>
  <c r="AH195" i="1"/>
  <c r="AH245" i="1" s="1"/>
  <c r="AP195" i="1"/>
  <c r="AB198" i="1"/>
  <c r="AB248" i="1" s="1"/>
  <c r="X196" i="1"/>
  <c r="AL196" i="1" s="1"/>
  <c r="AL246" i="1" s="1"/>
  <c r="AT246" i="1" s="1"/>
  <c r="U100" i="1"/>
  <c r="AJ194" i="1"/>
  <c r="AJ244" i="1" s="1"/>
  <c r="AH194" i="1"/>
  <c r="AH244" i="1" s="1"/>
  <c r="AU244" i="1"/>
  <c r="AO99" i="1"/>
  <c r="AK99" i="1" s="1"/>
  <c r="AC100" i="1"/>
  <c r="AO100" i="1" s="1"/>
  <c r="M100" i="1"/>
  <c r="V100" i="1" s="1"/>
  <c r="L100" i="1"/>
  <c r="Q100" i="1" s="1"/>
  <c r="K101" i="1"/>
  <c r="S101" i="1"/>
  <c r="E102" i="1"/>
  <c r="Z101" i="1"/>
  <c r="AA101" i="1" s="1"/>
  <c r="AB101" i="1" s="1"/>
  <c r="T101" i="1"/>
  <c r="C251" i="1"/>
  <c r="F250" i="1"/>
  <c r="AO149" i="1"/>
  <c r="AL98" i="1"/>
  <c r="AP98" i="1"/>
  <c r="I150" i="1"/>
  <c r="M150" i="1" s="1"/>
  <c r="V150" i="1" s="1"/>
  <c r="Y150" i="1" s="1"/>
  <c r="G151" i="1"/>
  <c r="P248" i="1"/>
  <c r="AE200" i="1"/>
  <c r="AE249" i="1"/>
  <c r="I101" i="1"/>
  <c r="G102" i="1"/>
  <c r="M199" i="1"/>
  <c r="I249" i="1"/>
  <c r="AK195" i="1"/>
  <c r="AK245" i="1" s="1"/>
  <c r="AJ195" i="1"/>
  <c r="AJ245" i="1" s="1"/>
  <c r="AO245" i="1"/>
  <c r="AS245" i="1" s="1"/>
  <c r="AA199" i="1"/>
  <c r="AA249" i="1" s="1"/>
  <c r="Z249" i="1"/>
  <c r="E201" i="1"/>
  <c r="Z200" i="1"/>
  <c r="T200" i="1"/>
  <c r="T250" i="1" s="1"/>
  <c r="S200" i="1"/>
  <c r="S250" i="1" s="1"/>
  <c r="K200" i="1"/>
  <c r="AP148" i="1"/>
  <c r="AL148" i="1"/>
  <c r="AH148" i="1" s="1"/>
  <c r="J101" i="1"/>
  <c r="O101" i="1"/>
  <c r="N101" i="1"/>
  <c r="D102" i="1"/>
  <c r="R197" i="1"/>
  <c r="R247" i="1" s="1"/>
  <c r="AF201" i="1"/>
  <c r="AF251" i="1" s="1"/>
  <c r="F201" i="1"/>
  <c r="G201" i="1"/>
  <c r="AD201" i="1"/>
  <c r="AD251" i="1" s="1"/>
  <c r="C202" i="1"/>
  <c r="AD153" i="1"/>
  <c r="AE153" i="1" s="1"/>
  <c r="C154" i="1"/>
  <c r="AF153" i="1"/>
  <c r="AG153" i="1" s="1"/>
  <c r="Q198" i="1"/>
  <c r="Q248" i="1" s="1"/>
  <c r="L248" i="1"/>
  <c r="R99" i="1"/>
  <c r="X99" i="1" s="1"/>
  <c r="F102" i="1"/>
  <c r="H101" i="1"/>
  <c r="T151" i="1"/>
  <c r="K151" i="1"/>
  <c r="Z151" i="1"/>
  <c r="S151" i="1"/>
  <c r="E152" i="1"/>
  <c r="W149" i="1"/>
  <c r="Y149" i="1"/>
  <c r="AM149" i="1" s="1"/>
  <c r="AJ97" i="1"/>
  <c r="AH97" i="1"/>
  <c r="L199" i="1"/>
  <c r="H249" i="1"/>
  <c r="G250" i="1"/>
  <c r="I200" i="1"/>
  <c r="AG199" i="1"/>
  <c r="AG248" i="1"/>
  <c r="AF105" i="1"/>
  <c r="AG105" i="1" s="1"/>
  <c r="C106" i="1"/>
  <c r="AD105" i="1"/>
  <c r="AE105" i="1" s="1"/>
  <c r="U199" i="1"/>
  <c r="K249" i="1"/>
  <c r="AA150" i="1"/>
  <c r="AB150" i="1" s="1"/>
  <c r="AC150" i="1" s="1"/>
  <c r="D201" i="1"/>
  <c r="N200" i="1"/>
  <c r="N250" i="1" s="1"/>
  <c r="O200" i="1"/>
  <c r="O250" i="1" s="1"/>
  <c r="J200" i="1"/>
  <c r="AM196" i="1"/>
  <c r="Y246" i="1"/>
  <c r="F151" i="1"/>
  <c r="H150" i="1"/>
  <c r="P100" i="1"/>
  <c r="H200" i="1"/>
  <c r="U248" i="1"/>
  <c r="AI148" i="1"/>
  <c r="Y197" i="1"/>
  <c r="AO196" i="1"/>
  <c r="AC197" i="1"/>
  <c r="AC246" i="1"/>
  <c r="V198" i="1"/>
  <c r="V248" i="1" s="1"/>
  <c r="M248" i="1"/>
  <c r="J249" i="1"/>
  <c r="P199" i="1"/>
  <c r="AK148" i="1"/>
  <c r="R149" i="1" l="1"/>
  <c r="X149" i="1" s="1"/>
  <c r="X246" i="1"/>
  <c r="U101" i="1"/>
  <c r="AP196" i="1"/>
  <c r="W150" i="1"/>
  <c r="AU245" i="1"/>
  <c r="L150" i="1"/>
  <c r="Q150" i="1" s="1"/>
  <c r="D152" i="1"/>
  <c r="N151" i="1"/>
  <c r="O151" i="1"/>
  <c r="J151" i="1"/>
  <c r="U151" i="1"/>
  <c r="P150" i="1"/>
  <c r="P101" i="1"/>
  <c r="M101" i="1"/>
  <c r="V101" i="1" s="1"/>
  <c r="W101" i="1" s="1"/>
  <c r="Y101" i="1" s="1"/>
  <c r="L101" i="1"/>
  <c r="AC101" i="1"/>
  <c r="AO101" i="1" s="1"/>
  <c r="T102" i="1"/>
  <c r="Z102" i="1"/>
  <c r="AA102" i="1" s="1"/>
  <c r="AB102" i="1" s="1"/>
  <c r="E103" i="1"/>
  <c r="S102" i="1"/>
  <c r="K102" i="1"/>
  <c r="W100" i="1"/>
  <c r="Y100" i="1" s="1"/>
  <c r="AM100" i="1" s="1"/>
  <c r="AI100" i="1" s="1"/>
  <c r="F251" i="1"/>
  <c r="C252" i="1"/>
  <c r="AJ148" i="1"/>
  <c r="X197" i="1"/>
  <c r="AL197" i="1" s="1"/>
  <c r="AL247" i="1" s="1"/>
  <c r="AT247" i="1" s="1"/>
  <c r="AO150" i="1"/>
  <c r="AM150" i="1"/>
  <c r="AL149" i="1"/>
  <c r="AH149" i="1" s="1"/>
  <c r="AP149" i="1"/>
  <c r="AO197" i="1"/>
  <c r="AC198" i="1"/>
  <c r="AC247" i="1"/>
  <c r="R100" i="1"/>
  <c r="X100" i="1" s="1"/>
  <c r="P200" i="1"/>
  <c r="J250" i="1"/>
  <c r="M200" i="1"/>
  <c r="I250" i="1"/>
  <c r="AI149" i="1"/>
  <c r="AA151" i="1"/>
  <c r="AB151" i="1" s="1"/>
  <c r="AC151" i="1" s="1"/>
  <c r="C203" i="1"/>
  <c r="G202" i="1"/>
  <c r="AD202" i="1"/>
  <c r="AD252" i="1" s="1"/>
  <c r="AF202" i="1"/>
  <c r="AF252" i="1" s="1"/>
  <c r="F202" i="1"/>
  <c r="K250" i="1"/>
  <c r="U200" i="1"/>
  <c r="E202" i="1"/>
  <c r="T201" i="1"/>
  <c r="T251" i="1" s="1"/>
  <c r="K201" i="1"/>
  <c r="Z201" i="1"/>
  <c r="S201" i="1"/>
  <c r="S251" i="1" s="1"/>
  <c r="AJ98" i="1"/>
  <c r="AH98" i="1"/>
  <c r="P249" i="1"/>
  <c r="AO246" i="1"/>
  <c r="AS246" i="1" s="1"/>
  <c r="AU246" i="1" s="1"/>
  <c r="AJ196" i="1"/>
  <c r="AJ246" i="1" s="1"/>
  <c r="AK196" i="1"/>
  <c r="AK246" i="1" s="1"/>
  <c r="Y198" i="1"/>
  <c r="AF106" i="1"/>
  <c r="AG106" i="1" s="1"/>
  <c r="C107" i="1"/>
  <c r="AD106" i="1"/>
  <c r="AE106" i="1" s="1"/>
  <c r="Q101" i="1"/>
  <c r="G152" i="1"/>
  <c r="I151" i="1"/>
  <c r="M151" i="1" s="1"/>
  <c r="V151" i="1" s="1"/>
  <c r="AM197" i="1"/>
  <c r="Y247" i="1"/>
  <c r="L200" i="1"/>
  <c r="H250" i="1"/>
  <c r="E153" i="1"/>
  <c r="Z152" i="1"/>
  <c r="S152" i="1"/>
  <c r="T152" i="1"/>
  <c r="K152" i="1"/>
  <c r="F103" i="1"/>
  <c r="H102" i="1"/>
  <c r="AL99" i="1"/>
  <c r="AP99" i="1"/>
  <c r="AF154" i="1"/>
  <c r="AG154" i="1" s="1"/>
  <c r="AD154" i="1"/>
  <c r="AE154" i="1" s="1"/>
  <c r="C155" i="1"/>
  <c r="G251" i="1"/>
  <c r="I201" i="1"/>
  <c r="J102" i="1"/>
  <c r="O102" i="1"/>
  <c r="D103" i="1"/>
  <c r="N102" i="1"/>
  <c r="M249" i="1"/>
  <c r="V199" i="1"/>
  <c r="V249" i="1" s="1"/>
  <c r="AE201" i="1"/>
  <c r="AE250" i="1"/>
  <c r="W198" i="1"/>
  <c r="W248" i="1" s="1"/>
  <c r="H151" i="1"/>
  <c r="F152" i="1"/>
  <c r="AI196" i="1"/>
  <c r="AI246" i="1" s="1"/>
  <c r="AH196" i="1"/>
  <c r="AH246" i="1" s="1"/>
  <c r="AM246" i="1"/>
  <c r="J201" i="1"/>
  <c r="O201" i="1"/>
  <c r="O251" i="1" s="1"/>
  <c r="N201" i="1"/>
  <c r="N251" i="1" s="1"/>
  <c r="D202" i="1"/>
  <c r="U249" i="1"/>
  <c r="AG200" i="1"/>
  <c r="AG249" i="1"/>
  <c r="Q199" i="1"/>
  <c r="Q249" i="1" s="1"/>
  <c r="L249" i="1"/>
  <c r="AK100" i="1"/>
  <c r="H201" i="1"/>
  <c r="Z250" i="1"/>
  <c r="AA200" i="1"/>
  <c r="AA250" i="1" s="1"/>
  <c r="AB199" i="1"/>
  <c r="AB249" i="1" s="1"/>
  <c r="G103" i="1"/>
  <c r="I102" i="1"/>
  <c r="R198" i="1"/>
  <c r="R248" i="1" s="1"/>
  <c r="AK149" i="1"/>
  <c r="W151" i="1" l="1"/>
  <c r="AC102" i="1"/>
  <c r="AO102" i="1" s="1"/>
  <c r="AJ149" i="1"/>
  <c r="R150" i="1"/>
  <c r="X150" i="1" s="1"/>
  <c r="AL150" i="1" s="1"/>
  <c r="AJ150" i="1" s="1"/>
  <c r="R101" i="1"/>
  <c r="X101" i="1" s="1"/>
  <c r="AP101" i="1" s="1"/>
  <c r="M102" i="1"/>
  <c r="V102" i="1" s="1"/>
  <c r="L151" i="1"/>
  <c r="Q151" i="1" s="1"/>
  <c r="AP197" i="1"/>
  <c r="P151" i="1"/>
  <c r="U152" i="1"/>
  <c r="D153" i="1"/>
  <c r="J152" i="1"/>
  <c r="O152" i="1"/>
  <c r="N152" i="1"/>
  <c r="AB200" i="1"/>
  <c r="AB250" i="1" s="1"/>
  <c r="AM101" i="1"/>
  <c r="AI101" i="1" s="1"/>
  <c r="U102" i="1"/>
  <c r="P102" i="1"/>
  <c r="X247" i="1"/>
  <c r="Z103" i="1"/>
  <c r="AA103" i="1" s="1"/>
  <c r="AB103" i="1" s="1"/>
  <c r="S103" i="1"/>
  <c r="K103" i="1"/>
  <c r="E104" i="1"/>
  <c r="T103" i="1"/>
  <c r="Y151" i="1"/>
  <c r="AM151" i="1" s="1"/>
  <c r="F252" i="1"/>
  <c r="C253" i="1"/>
  <c r="AO151" i="1"/>
  <c r="AL101" i="1"/>
  <c r="AJ101" i="1" s="1"/>
  <c r="H251" i="1"/>
  <c r="L201" i="1"/>
  <c r="W199" i="1"/>
  <c r="W249" i="1" s="1"/>
  <c r="L102" i="1"/>
  <c r="Q102" i="1" s="1"/>
  <c r="Q200" i="1"/>
  <c r="Q250" i="1" s="1"/>
  <c r="L250" i="1"/>
  <c r="I152" i="1"/>
  <c r="M152" i="1" s="1"/>
  <c r="V152" i="1" s="1"/>
  <c r="G153" i="1"/>
  <c r="AD107" i="1"/>
  <c r="AE107" i="1" s="1"/>
  <c r="C108" i="1"/>
  <c r="AF107" i="1"/>
  <c r="AG107" i="1" s="1"/>
  <c r="H202" i="1"/>
  <c r="G203" i="1"/>
  <c r="F203" i="1"/>
  <c r="AD203" i="1"/>
  <c r="AD253" i="1" s="1"/>
  <c r="C204" i="1"/>
  <c r="AF203" i="1"/>
  <c r="AF253" i="1" s="1"/>
  <c r="P250" i="1"/>
  <c r="Y199" i="1"/>
  <c r="P201" i="1"/>
  <c r="J251" i="1"/>
  <c r="H152" i="1"/>
  <c r="F153" i="1"/>
  <c r="AE251" i="1"/>
  <c r="AE202" i="1"/>
  <c r="I251" i="1"/>
  <c r="M201" i="1"/>
  <c r="H103" i="1"/>
  <c r="F104" i="1"/>
  <c r="AA152" i="1"/>
  <c r="AB152" i="1" s="1"/>
  <c r="AC152" i="1" s="1"/>
  <c r="X198" i="1"/>
  <c r="E203" i="1"/>
  <c r="S202" i="1"/>
  <c r="S252" i="1" s="1"/>
  <c r="K202" i="1"/>
  <c r="Z202" i="1"/>
  <c r="T202" i="1"/>
  <c r="T252" i="1" s="1"/>
  <c r="AK101" i="1"/>
  <c r="AG201" i="1"/>
  <c r="AG250" i="1"/>
  <c r="N202" i="1"/>
  <c r="N252" i="1" s="1"/>
  <c r="O202" i="1"/>
  <c r="O252" i="1" s="1"/>
  <c r="J202" i="1"/>
  <c r="D203" i="1"/>
  <c r="J103" i="1"/>
  <c r="D104" i="1"/>
  <c r="N103" i="1"/>
  <c r="O103" i="1"/>
  <c r="S153" i="1"/>
  <c r="E154" i="1"/>
  <c r="Z153" i="1"/>
  <c r="K153" i="1"/>
  <c r="T153" i="1"/>
  <c r="AM247" i="1"/>
  <c r="AI197" i="1"/>
  <c r="AI247" i="1" s="1"/>
  <c r="AH197" i="1"/>
  <c r="AH247" i="1" s="1"/>
  <c r="AA201" i="1"/>
  <c r="AA251" i="1" s="1"/>
  <c r="Z251" i="1"/>
  <c r="U250" i="1"/>
  <c r="V200" i="1"/>
  <c r="V250" i="1" s="1"/>
  <c r="M250" i="1"/>
  <c r="AL100" i="1"/>
  <c r="AP100" i="1"/>
  <c r="AC248" i="1"/>
  <c r="AC199" i="1"/>
  <c r="AO198" i="1"/>
  <c r="AI150" i="1"/>
  <c r="I103" i="1"/>
  <c r="G104" i="1"/>
  <c r="C156" i="1"/>
  <c r="AD155" i="1"/>
  <c r="AE155" i="1" s="1"/>
  <c r="AF155" i="1"/>
  <c r="AG155" i="1" s="1"/>
  <c r="AH99" i="1"/>
  <c r="AJ99" i="1"/>
  <c r="AM198" i="1"/>
  <c r="Y248" i="1"/>
  <c r="R199" i="1"/>
  <c r="R249" i="1" s="1"/>
  <c r="U201" i="1"/>
  <c r="K251" i="1"/>
  <c r="I202" i="1"/>
  <c r="G252" i="1"/>
  <c r="AO247" i="1"/>
  <c r="AS247" i="1" s="1"/>
  <c r="AU247" i="1" s="1"/>
  <c r="AK197" i="1"/>
  <c r="AK247" i="1" s="1"/>
  <c r="AJ197" i="1"/>
  <c r="AJ247" i="1" s="1"/>
  <c r="AK150" i="1"/>
  <c r="AP150" i="1" l="1"/>
  <c r="AC103" i="1"/>
  <c r="AO103" i="1" s="1"/>
  <c r="Y152" i="1"/>
  <c r="AM152" i="1" s="1"/>
  <c r="W102" i="1"/>
  <c r="Y102" i="1" s="1"/>
  <c r="AM102" i="1" s="1"/>
  <c r="AI102" i="1" s="1"/>
  <c r="L152" i="1"/>
  <c r="Q152" i="1" s="1"/>
  <c r="R151" i="1"/>
  <c r="X151" i="1" s="1"/>
  <c r="AH150" i="1"/>
  <c r="R200" i="1"/>
  <c r="R250" i="1" s="1"/>
  <c r="J153" i="1"/>
  <c r="O153" i="1"/>
  <c r="D154" i="1"/>
  <c r="N153" i="1"/>
  <c r="U103" i="1"/>
  <c r="P152" i="1"/>
  <c r="AH101" i="1"/>
  <c r="R102" i="1"/>
  <c r="X102" i="1" s="1"/>
  <c r="P103" i="1"/>
  <c r="W152" i="1"/>
  <c r="H203" i="1"/>
  <c r="H253" i="1" s="1"/>
  <c r="M103" i="1"/>
  <c r="V103" i="1" s="1"/>
  <c r="W200" i="1"/>
  <c r="W250" i="1" s="1"/>
  <c r="AB201" i="1"/>
  <c r="AB251" i="1" s="1"/>
  <c r="C254" i="1"/>
  <c r="F253" i="1"/>
  <c r="Z104" i="1"/>
  <c r="E105" i="1"/>
  <c r="K104" i="1"/>
  <c r="T104" i="1"/>
  <c r="S104" i="1"/>
  <c r="AO152" i="1"/>
  <c r="AK198" i="1"/>
  <c r="AK248" i="1" s="1"/>
  <c r="AO248" i="1"/>
  <c r="AS248" i="1" s="1"/>
  <c r="AH100" i="1"/>
  <c r="AJ100" i="1"/>
  <c r="Z154" i="1"/>
  <c r="K154" i="1"/>
  <c r="T154" i="1"/>
  <c r="E155" i="1"/>
  <c r="S154" i="1"/>
  <c r="I203" i="1"/>
  <c r="G253" i="1"/>
  <c r="AD108" i="1"/>
  <c r="AE108" i="1" s="1"/>
  <c r="AF108" i="1"/>
  <c r="AG108" i="1" s="1"/>
  <c r="C109" i="1"/>
  <c r="Y200" i="1"/>
  <c r="U153" i="1"/>
  <c r="J104" i="1"/>
  <c r="N104" i="1"/>
  <c r="D105" i="1"/>
  <c r="O104" i="1"/>
  <c r="D204" i="1"/>
  <c r="O203" i="1"/>
  <c r="O253" i="1" s="1"/>
  <c r="J203" i="1"/>
  <c r="N203" i="1"/>
  <c r="N253" i="1" s="1"/>
  <c r="U202" i="1"/>
  <c r="K252" i="1"/>
  <c r="F105" i="1"/>
  <c r="H104" i="1"/>
  <c r="AE252" i="1"/>
  <c r="AE203" i="1"/>
  <c r="X199" i="1"/>
  <c r="I153" i="1"/>
  <c r="M153" i="1" s="1"/>
  <c r="V153" i="1" s="1"/>
  <c r="G154" i="1"/>
  <c r="I252" i="1"/>
  <c r="M202" i="1"/>
  <c r="G105" i="1"/>
  <c r="I104" i="1"/>
  <c r="AK102" i="1"/>
  <c r="AA153" i="1"/>
  <c r="AB153" i="1" s="1"/>
  <c r="AC153" i="1" s="1"/>
  <c r="J252" i="1"/>
  <c r="P202" i="1"/>
  <c r="AG251" i="1"/>
  <c r="AG202" i="1"/>
  <c r="L103" i="1"/>
  <c r="Q103" i="1" s="1"/>
  <c r="P251" i="1"/>
  <c r="AK151" i="1"/>
  <c r="AI198" i="1"/>
  <c r="AI248" i="1" s="1"/>
  <c r="AM248" i="1"/>
  <c r="S203" i="1"/>
  <c r="S253" i="1" s="1"/>
  <c r="K203" i="1"/>
  <c r="Z203" i="1"/>
  <c r="T203" i="1"/>
  <c r="T253" i="1" s="1"/>
  <c r="E204" i="1"/>
  <c r="V201" i="1"/>
  <c r="V251" i="1" s="1"/>
  <c r="M251" i="1"/>
  <c r="F154" i="1"/>
  <c r="H153" i="1"/>
  <c r="Y249" i="1"/>
  <c r="AM199" i="1"/>
  <c r="Q201" i="1"/>
  <c r="Q251" i="1" s="1"/>
  <c r="L251" i="1"/>
  <c r="U251" i="1"/>
  <c r="C157" i="1"/>
  <c r="AD156" i="1"/>
  <c r="AE156" i="1" s="1"/>
  <c r="AF156" i="1"/>
  <c r="AG156" i="1" s="1"/>
  <c r="AO199" i="1"/>
  <c r="AC249" i="1"/>
  <c r="AC200" i="1"/>
  <c r="AI151" i="1"/>
  <c r="Z252" i="1"/>
  <c r="AA202" i="1"/>
  <c r="AA252" i="1" s="1"/>
  <c r="X248" i="1"/>
  <c r="AP198" i="1"/>
  <c r="AL198" i="1"/>
  <c r="AL248" i="1" s="1"/>
  <c r="AT248" i="1" s="1"/>
  <c r="F204" i="1"/>
  <c r="AF204" i="1"/>
  <c r="AF254" i="1" s="1"/>
  <c r="C205" i="1"/>
  <c r="AD204" i="1"/>
  <c r="AD254" i="1" s="1"/>
  <c r="G204" i="1"/>
  <c r="L202" i="1"/>
  <c r="H252" i="1"/>
  <c r="W103" i="1" l="1"/>
  <c r="Y103" i="1" s="1"/>
  <c r="AM103" i="1" s="1"/>
  <c r="AI103" i="1" s="1"/>
  <c r="X200" i="1"/>
  <c r="AP200" i="1" s="1"/>
  <c r="AP151" i="1"/>
  <c r="AL151" i="1"/>
  <c r="AJ151" i="1" s="1"/>
  <c r="L153" i="1"/>
  <c r="Q153" i="1" s="1"/>
  <c r="R103" i="1"/>
  <c r="X103" i="1" s="1"/>
  <c r="AL103" i="1" s="1"/>
  <c r="R152" i="1"/>
  <c r="X152" i="1" s="1"/>
  <c r="AP102" i="1"/>
  <c r="AL102" i="1"/>
  <c r="D155" i="1"/>
  <c r="O154" i="1"/>
  <c r="N154" i="1"/>
  <c r="J154" i="1"/>
  <c r="P153" i="1"/>
  <c r="H204" i="1"/>
  <c r="H254" i="1" s="1"/>
  <c r="M104" i="1"/>
  <c r="V104" i="1" s="1"/>
  <c r="U104" i="1"/>
  <c r="W201" i="1"/>
  <c r="W251" i="1" s="1"/>
  <c r="R201" i="1"/>
  <c r="R251" i="1" s="1"/>
  <c r="AB202" i="1"/>
  <c r="AB252" i="1" s="1"/>
  <c r="Y201" i="1"/>
  <c r="Y251" i="1" s="1"/>
  <c r="AH198" i="1"/>
  <c r="AH248" i="1" s="1"/>
  <c r="P104" i="1"/>
  <c r="AA104" i="1"/>
  <c r="AB104" i="1" s="1"/>
  <c r="AC104" i="1" s="1"/>
  <c r="AO104" i="1" s="1"/>
  <c r="T105" i="1"/>
  <c r="Z105" i="1"/>
  <c r="S105" i="1"/>
  <c r="K105" i="1"/>
  <c r="E106" i="1"/>
  <c r="AU248" i="1"/>
  <c r="C255" i="1"/>
  <c r="F254" i="1"/>
  <c r="AO153" i="1"/>
  <c r="C206" i="1"/>
  <c r="AF205" i="1"/>
  <c r="AF255" i="1" s="1"/>
  <c r="AD205" i="1"/>
  <c r="AD255" i="1" s="1"/>
  <c r="F205" i="1"/>
  <c r="G205" i="1"/>
  <c r="G254" i="1"/>
  <c r="I204" i="1"/>
  <c r="AI199" i="1"/>
  <c r="AI249" i="1" s="1"/>
  <c r="AM249" i="1"/>
  <c r="AA203" i="1"/>
  <c r="AA253" i="1" s="1"/>
  <c r="Z253" i="1"/>
  <c r="AG252" i="1"/>
  <c r="AG203" i="1"/>
  <c r="H105" i="1"/>
  <c r="F106" i="1"/>
  <c r="J253" i="1"/>
  <c r="P203" i="1"/>
  <c r="N105" i="1"/>
  <c r="O105" i="1"/>
  <c r="J105" i="1"/>
  <c r="D106" i="1"/>
  <c r="Y250" i="1"/>
  <c r="AM200" i="1"/>
  <c r="AA154" i="1"/>
  <c r="AB154" i="1" s="1"/>
  <c r="AC154" i="1" s="1"/>
  <c r="L203" i="1"/>
  <c r="AC201" i="1"/>
  <c r="AO200" i="1"/>
  <c r="AC250" i="1"/>
  <c r="K253" i="1"/>
  <c r="U203" i="1"/>
  <c r="G106" i="1"/>
  <c r="I105" i="1"/>
  <c r="I154" i="1"/>
  <c r="M154" i="1" s="1"/>
  <c r="V154" i="1" s="1"/>
  <c r="G155" i="1"/>
  <c r="AE204" i="1"/>
  <c r="AE253" i="1"/>
  <c r="T155" i="1"/>
  <c r="S155" i="1"/>
  <c r="K155" i="1"/>
  <c r="E156" i="1"/>
  <c r="Z155" i="1"/>
  <c r="AK103" i="1"/>
  <c r="AJ198" i="1"/>
  <c r="AJ248" i="1" s="1"/>
  <c r="P252" i="1"/>
  <c r="U252" i="1"/>
  <c r="AK152" i="1"/>
  <c r="S204" i="1"/>
  <c r="S254" i="1" s="1"/>
  <c r="K204" i="1"/>
  <c r="Z204" i="1"/>
  <c r="E205" i="1"/>
  <c r="T204" i="1"/>
  <c r="T254" i="1" s="1"/>
  <c r="D205" i="1"/>
  <c r="J204" i="1"/>
  <c r="N204" i="1"/>
  <c r="N254" i="1" s="1"/>
  <c r="O204" i="1"/>
  <c r="O254" i="1" s="1"/>
  <c r="Q202" i="1"/>
  <c r="Q252" i="1" s="1"/>
  <c r="L252" i="1"/>
  <c r="AK199" i="1"/>
  <c r="AK249" i="1" s="1"/>
  <c r="AO249" i="1"/>
  <c r="AS249" i="1" s="1"/>
  <c r="C158" i="1"/>
  <c r="AF157" i="1"/>
  <c r="AG157" i="1" s="1"/>
  <c r="AD157" i="1"/>
  <c r="AE157" i="1" s="1"/>
  <c r="H154" i="1"/>
  <c r="F155" i="1"/>
  <c r="M252" i="1"/>
  <c r="V202" i="1"/>
  <c r="V252" i="1" s="1"/>
  <c r="AL199" i="1"/>
  <c r="AL249" i="1" s="1"/>
  <c r="AT249" i="1" s="1"/>
  <c r="X249" i="1"/>
  <c r="AP199" i="1"/>
  <c r="L104" i="1"/>
  <c r="Q104" i="1" s="1"/>
  <c r="W153" i="1"/>
  <c r="Y153" i="1"/>
  <c r="AM153" i="1" s="1"/>
  <c r="C110" i="1"/>
  <c r="AF109" i="1"/>
  <c r="AG109" i="1" s="1"/>
  <c r="AD109" i="1"/>
  <c r="AE109" i="1" s="1"/>
  <c r="I253" i="1"/>
  <c r="M203" i="1"/>
  <c r="U154" i="1"/>
  <c r="AI152" i="1"/>
  <c r="X250" i="1" l="1"/>
  <c r="AL200" i="1"/>
  <c r="AL250" i="1" s="1"/>
  <c r="AT250" i="1" s="1"/>
  <c r="AP103" i="1"/>
  <c r="AH151" i="1"/>
  <c r="AL152" i="1"/>
  <c r="AJ152" i="1" s="1"/>
  <c r="AP152" i="1"/>
  <c r="AJ103" i="1"/>
  <c r="AH103" i="1"/>
  <c r="X201" i="1"/>
  <c r="AP201" i="1" s="1"/>
  <c r="W104" i="1"/>
  <c r="Y104" i="1" s="1"/>
  <c r="AM104" i="1" s="1"/>
  <c r="AI104" i="1" s="1"/>
  <c r="L154" i="1"/>
  <c r="Q154" i="1" s="1"/>
  <c r="R153" i="1"/>
  <c r="X153" i="1" s="1"/>
  <c r="AL153" i="1" s="1"/>
  <c r="AH153" i="1" s="1"/>
  <c r="AM201" i="1"/>
  <c r="AI201" i="1" s="1"/>
  <c r="AI251" i="1" s="1"/>
  <c r="O155" i="1"/>
  <c r="N155" i="1"/>
  <c r="D156" i="1"/>
  <c r="J155" i="1"/>
  <c r="AH102" i="1"/>
  <c r="AJ102" i="1"/>
  <c r="P154" i="1"/>
  <c r="M105" i="1"/>
  <c r="V105" i="1" s="1"/>
  <c r="U105" i="1"/>
  <c r="R104" i="1"/>
  <c r="X104" i="1" s="1"/>
  <c r="AL104" i="1" s="1"/>
  <c r="R202" i="1"/>
  <c r="R252" i="1" s="1"/>
  <c r="AA105" i="1"/>
  <c r="AB105" i="1" s="1"/>
  <c r="AC105" i="1" s="1"/>
  <c r="AU249" i="1"/>
  <c r="K106" i="1"/>
  <c r="T106" i="1"/>
  <c r="S106" i="1"/>
  <c r="E107" i="1"/>
  <c r="Z106" i="1"/>
  <c r="AA106" i="1" s="1"/>
  <c r="AB106" i="1" s="1"/>
  <c r="P105" i="1"/>
  <c r="F255" i="1"/>
  <c r="C256" i="1"/>
  <c r="AO154" i="1"/>
  <c r="H106" i="1"/>
  <c r="F107" i="1"/>
  <c r="I254" i="1"/>
  <c r="M204" i="1"/>
  <c r="AI153" i="1"/>
  <c r="K254" i="1"/>
  <c r="U204" i="1"/>
  <c r="Y202" i="1"/>
  <c r="AA155" i="1"/>
  <c r="AB155" i="1" s="1"/>
  <c r="AC155" i="1" s="1"/>
  <c r="G156" i="1"/>
  <c r="I155" i="1"/>
  <c r="M155" i="1" s="1"/>
  <c r="V155" i="1" s="1"/>
  <c r="Q203" i="1"/>
  <c r="Q253" i="1" s="1"/>
  <c r="L253" i="1"/>
  <c r="L105" i="1"/>
  <c r="Q105" i="1" s="1"/>
  <c r="AD110" i="1"/>
  <c r="AE110" i="1" s="1"/>
  <c r="C111" i="1"/>
  <c r="AF110" i="1"/>
  <c r="AG110" i="1" s="1"/>
  <c r="AA204" i="1"/>
  <c r="AA254" i="1" s="1"/>
  <c r="Z254" i="1"/>
  <c r="H155" i="1"/>
  <c r="F156" i="1"/>
  <c r="C159" i="1"/>
  <c r="AD158" i="1"/>
  <c r="AE158" i="1" s="1"/>
  <c r="AF158" i="1"/>
  <c r="AG158" i="1" s="1"/>
  <c r="J254" i="1"/>
  <c r="P204" i="1"/>
  <c r="AK104" i="1"/>
  <c r="W202" i="1"/>
  <c r="W252" i="1" s="1"/>
  <c r="E157" i="1"/>
  <c r="T156" i="1"/>
  <c r="K156" i="1"/>
  <c r="Z156" i="1"/>
  <c r="S156" i="1"/>
  <c r="G107" i="1"/>
  <c r="I106" i="1"/>
  <c r="N106" i="1"/>
  <c r="D107" i="1"/>
  <c r="O106" i="1"/>
  <c r="J106" i="1"/>
  <c r="P253" i="1"/>
  <c r="AB203" i="1"/>
  <c r="AB253" i="1" s="1"/>
  <c r="AH199" i="1"/>
  <c r="AH249" i="1" s="1"/>
  <c r="L204" i="1"/>
  <c r="I205" i="1"/>
  <c r="G255" i="1"/>
  <c r="AF206" i="1"/>
  <c r="AF256" i="1" s="1"/>
  <c r="G206" i="1"/>
  <c r="AD206" i="1"/>
  <c r="AD256" i="1" s="1"/>
  <c r="C207" i="1"/>
  <c r="F206" i="1"/>
  <c r="M253" i="1"/>
  <c r="V203" i="1"/>
  <c r="V253" i="1" s="1"/>
  <c r="AE205" i="1"/>
  <c r="AE254" i="1"/>
  <c r="AC251" i="1"/>
  <c r="AO201" i="1"/>
  <c r="AC202" i="1"/>
  <c r="AI200" i="1"/>
  <c r="AI250" i="1" s="1"/>
  <c r="AM250" i="1"/>
  <c r="Y154" i="1"/>
  <c r="AM154" i="1" s="1"/>
  <c r="W154" i="1"/>
  <c r="AJ199" i="1"/>
  <c r="AJ249" i="1" s="1"/>
  <c r="J205" i="1"/>
  <c r="N205" i="1"/>
  <c r="N255" i="1" s="1"/>
  <c r="O205" i="1"/>
  <c r="O255" i="1" s="1"/>
  <c r="D206" i="1"/>
  <c r="T205" i="1"/>
  <c r="T255" i="1" s="1"/>
  <c r="E206" i="1"/>
  <c r="S205" i="1"/>
  <c r="S255" i="1" s="1"/>
  <c r="Z205" i="1"/>
  <c r="K205" i="1"/>
  <c r="U155" i="1"/>
  <c r="U253" i="1"/>
  <c r="AO250" i="1"/>
  <c r="AS250" i="1" s="1"/>
  <c r="AK200" i="1"/>
  <c r="AK250" i="1" s="1"/>
  <c r="AG253" i="1"/>
  <c r="AG204" i="1"/>
  <c r="H205" i="1"/>
  <c r="AK153" i="1"/>
  <c r="AJ200" i="1" l="1"/>
  <c r="AJ250" i="1" s="1"/>
  <c r="AU250" i="1"/>
  <c r="AH200" i="1"/>
  <c r="AH250" i="1" s="1"/>
  <c r="AH152" i="1"/>
  <c r="X251" i="1"/>
  <c r="R154" i="1"/>
  <c r="X154" i="1" s="1"/>
  <c r="AL154" i="1" s="1"/>
  <c r="AH154" i="1" s="1"/>
  <c r="AM251" i="1"/>
  <c r="AC106" i="1"/>
  <c r="AO106" i="1" s="1"/>
  <c r="AL201" i="1"/>
  <c r="AL251" i="1" s="1"/>
  <c r="AT251" i="1" s="1"/>
  <c r="H206" i="1"/>
  <c r="H256" i="1" s="1"/>
  <c r="M106" i="1"/>
  <c r="V106" i="1" s="1"/>
  <c r="AP153" i="1"/>
  <c r="L155" i="1"/>
  <c r="Q155" i="1" s="1"/>
  <c r="U156" i="1"/>
  <c r="D157" i="1"/>
  <c r="J156" i="1"/>
  <c r="O156" i="1"/>
  <c r="N156" i="1"/>
  <c r="P155" i="1"/>
  <c r="W105" i="1"/>
  <c r="Y105" i="1" s="1"/>
  <c r="AM105" i="1" s="1"/>
  <c r="Y203" i="1"/>
  <c r="Y253" i="1" s="1"/>
  <c r="R203" i="1"/>
  <c r="R253" i="1" s="1"/>
  <c r="X202" i="1"/>
  <c r="AL202" i="1" s="1"/>
  <c r="AL252" i="1" s="1"/>
  <c r="AT252" i="1" s="1"/>
  <c r="W203" i="1"/>
  <c r="W253" i="1" s="1"/>
  <c r="AO105" i="1"/>
  <c r="AK105" i="1" s="1"/>
  <c r="AH104" i="1"/>
  <c r="AJ104" i="1"/>
  <c r="R105" i="1"/>
  <c r="X105" i="1" s="1"/>
  <c r="AP104" i="1"/>
  <c r="F256" i="1"/>
  <c r="C257" i="1"/>
  <c r="U106" i="1"/>
  <c r="AJ153" i="1"/>
  <c r="S107" i="1"/>
  <c r="E108" i="1"/>
  <c r="Z107" i="1"/>
  <c r="AA107" i="1" s="1"/>
  <c r="AB107" i="1" s="1"/>
  <c r="K107" i="1"/>
  <c r="T107" i="1"/>
  <c r="AO155" i="1"/>
  <c r="AI105" i="1"/>
  <c r="W155" i="1"/>
  <c r="Y155" i="1"/>
  <c r="AM155" i="1" s="1"/>
  <c r="J255" i="1"/>
  <c r="P205" i="1"/>
  <c r="E207" i="1"/>
  <c r="Z206" i="1"/>
  <c r="K206" i="1"/>
  <c r="T206" i="1"/>
  <c r="T256" i="1" s="1"/>
  <c r="S206" i="1"/>
  <c r="S256" i="1" s="1"/>
  <c r="AP154" i="1"/>
  <c r="I206" i="1"/>
  <c r="G256" i="1"/>
  <c r="L254" i="1"/>
  <c r="Q204" i="1"/>
  <c r="Q254" i="1" s="1"/>
  <c r="J107" i="1"/>
  <c r="O107" i="1"/>
  <c r="N107" i="1"/>
  <c r="D108" i="1"/>
  <c r="F157" i="1"/>
  <c r="H156" i="1"/>
  <c r="I156" i="1"/>
  <c r="M156" i="1" s="1"/>
  <c r="V156" i="1" s="1"/>
  <c r="G157" i="1"/>
  <c r="Y252" i="1"/>
  <c r="AM202" i="1"/>
  <c r="L106" i="1"/>
  <c r="Q106" i="1" s="1"/>
  <c r="M254" i="1"/>
  <c r="V204" i="1"/>
  <c r="V254" i="1" s="1"/>
  <c r="AI154" i="1"/>
  <c r="AC203" i="1"/>
  <c r="AC252" i="1"/>
  <c r="AO202" i="1"/>
  <c r="AE255" i="1"/>
  <c r="AE206" i="1"/>
  <c r="F207" i="1"/>
  <c r="G207" i="1"/>
  <c r="C208" i="1"/>
  <c r="AF207" i="1"/>
  <c r="AF257" i="1" s="1"/>
  <c r="AD207" i="1"/>
  <c r="AD257" i="1" s="1"/>
  <c r="P106" i="1"/>
  <c r="S157" i="1"/>
  <c r="T157" i="1"/>
  <c r="Z157" i="1"/>
  <c r="E158" i="1"/>
  <c r="K157" i="1"/>
  <c r="AF111" i="1"/>
  <c r="AG111" i="1" s="1"/>
  <c r="C112" i="1"/>
  <c r="AD111" i="1"/>
  <c r="AE111" i="1" s="1"/>
  <c r="AK154" i="1"/>
  <c r="U205" i="1"/>
  <c r="K255" i="1"/>
  <c r="L205" i="1"/>
  <c r="H255" i="1"/>
  <c r="AA205" i="1"/>
  <c r="AA255" i="1" s="1"/>
  <c r="Z255" i="1"/>
  <c r="N206" i="1"/>
  <c r="N256" i="1" s="1"/>
  <c r="J206" i="1"/>
  <c r="D207" i="1"/>
  <c r="O206" i="1"/>
  <c r="O256" i="1" s="1"/>
  <c r="AG205" i="1"/>
  <c r="AG254" i="1"/>
  <c r="AK201" i="1"/>
  <c r="AK251" i="1" s="1"/>
  <c r="AO251" i="1"/>
  <c r="AS251" i="1" s="1"/>
  <c r="I255" i="1"/>
  <c r="M205" i="1"/>
  <c r="G108" i="1"/>
  <c r="I107" i="1"/>
  <c r="AA156" i="1"/>
  <c r="AB156" i="1" s="1"/>
  <c r="AC156" i="1" s="1"/>
  <c r="P254" i="1"/>
  <c r="AD159" i="1"/>
  <c r="AE159" i="1" s="1"/>
  <c r="C160" i="1"/>
  <c r="AF159" i="1"/>
  <c r="AG159" i="1" s="1"/>
  <c r="AB204" i="1"/>
  <c r="AB254" i="1" s="1"/>
  <c r="U254" i="1"/>
  <c r="H107" i="1"/>
  <c r="F108" i="1"/>
  <c r="AJ201" i="1" l="1"/>
  <c r="AJ251" i="1" s="1"/>
  <c r="AH201" i="1"/>
  <c r="AH251" i="1" s="1"/>
  <c r="X203" i="1"/>
  <c r="AL203" i="1" s="1"/>
  <c r="AL253" i="1" s="1"/>
  <c r="AT253" i="1" s="1"/>
  <c r="AC107" i="1"/>
  <c r="AO107" i="1" s="1"/>
  <c r="L156" i="1"/>
  <c r="Q156" i="1" s="1"/>
  <c r="AU251" i="1"/>
  <c r="R155" i="1"/>
  <c r="X155" i="1" s="1"/>
  <c r="AL155" i="1" s="1"/>
  <c r="AH155" i="1" s="1"/>
  <c r="AP202" i="1"/>
  <c r="Y156" i="1"/>
  <c r="AM156" i="1" s="1"/>
  <c r="L107" i="1"/>
  <c r="Q107" i="1" s="1"/>
  <c r="M107" i="1"/>
  <c r="V107" i="1" s="1"/>
  <c r="AJ154" i="1"/>
  <c r="X252" i="1"/>
  <c r="W106" i="1"/>
  <c r="Y106" i="1" s="1"/>
  <c r="AM106" i="1" s="1"/>
  <c r="AI106" i="1" s="1"/>
  <c r="R204" i="1"/>
  <c r="R254" i="1" s="1"/>
  <c r="P156" i="1"/>
  <c r="J157" i="1"/>
  <c r="N157" i="1"/>
  <c r="O157" i="1"/>
  <c r="D158" i="1"/>
  <c r="AM203" i="1"/>
  <c r="AI203" i="1" s="1"/>
  <c r="AI253" i="1" s="1"/>
  <c r="U157" i="1"/>
  <c r="W204" i="1"/>
  <c r="W254" i="1" s="1"/>
  <c r="AP105" i="1"/>
  <c r="AL105" i="1"/>
  <c r="AJ105" i="1" s="1"/>
  <c r="P107" i="1"/>
  <c r="U107" i="1"/>
  <c r="E109" i="1"/>
  <c r="K108" i="1"/>
  <c r="Z108" i="1"/>
  <c r="S108" i="1"/>
  <c r="T108" i="1"/>
  <c r="Y204" i="1"/>
  <c r="Y254" i="1" s="1"/>
  <c r="F257" i="1"/>
  <c r="C258" i="1"/>
  <c r="AB205" i="1"/>
  <c r="AB255" i="1" s="1"/>
  <c r="AO156" i="1"/>
  <c r="G257" i="1"/>
  <c r="I207" i="1"/>
  <c r="F109" i="1"/>
  <c r="H108" i="1"/>
  <c r="AF160" i="1"/>
  <c r="AG160" i="1" s="1"/>
  <c r="AD160" i="1"/>
  <c r="AE160" i="1" s="1"/>
  <c r="C161" i="1"/>
  <c r="I108" i="1"/>
  <c r="G109" i="1"/>
  <c r="AG255" i="1"/>
  <c r="AG206" i="1"/>
  <c r="AF112" i="1"/>
  <c r="AG112" i="1" s="1"/>
  <c r="AD112" i="1"/>
  <c r="AE112" i="1" s="1"/>
  <c r="C113" i="1"/>
  <c r="AA157" i="1"/>
  <c r="AB157" i="1" s="1"/>
  <c r="AC157" i="1" s="1"/>
  <c r="C209" i="1"/>
  <c r="F208" i="1"/>
  <c r="G208" i="1"/>
  <c r="AF208" i="1"/>
  <c r="AF258" i="1" s="1"/>
  <c r="AD208" i="1"/>
  <c r="AD258" i="1" s="1"/>
  <c r="F158" i="1"/>
  <c r="H157" i="1"/>
  <c r="W156" i="1"/>
  <c r="E208" i="1"/>
  <c r="T207" i="1"/>
  <c r="T257" i="1" s="1"/>
  <c r="K207" i="1"/>
  <c r="Z207" i="1"/>
  <c r="S207" i="1"/>
  <c r="S257" i="1" s="1"/>
  <c r="R106" i="1"/>
  <c r="X106" i="1" s="1"/>
  <c r="AJ202" i="1"/>
  <c r="AJ252" i="1" s="1"/>
  <c r="AK202" i="1"/>
  <c r="AK252" i="1" s="1"/>
  <c r="AO252" i="1"/>
  <c r="AS252" i="1" s="1"/>
  <c r="AU252" i="1" s="1"/>
  <c r="G158" i="1"/>
  <c r="I157" i="1"/>
  <c r="M157" i="1" s="1"/>
  <c r="V157" i="1" s="1"/>
  <c r="O207" i="1"/>
  <c r="O257" i="1" s="1"/>
  <c r="D208" i="1"/>
  <c r="J207" i="1"/>
  <c r="N207" i="1"/>
  <c r="N257" i="1" s="1"/>
  <c r="H207" i="1"/>
  <c r="AK106" i="1"/>
  <c r="N108" i="1"/>
  <c r="J108" i="1"/>
  <c r="D109" i="1"/>
  <c r="O108" i="1"/>
  <c r="U206" i="1"/>
  <c r="K256" i="1"/>
  <c r="AK155" i="1"/>
  <c r="L255" i="1"/>
  <c r="Q205" i="1"/>
  <c r="Q255" i="1" s="1"/>
  <c r="I256" i="1"/>
  <c r="M206" i="1"/>
  <c r="AM253" i="1"/>
  <c r="P255" i="1"/>
  <c r="M255" i="1"/>
  <c r="V205" i="1"/>
  <c r="V255" i="1" s="1"/>
  <c r="J256" i="1"/>
  <c r="P206" i="1"/>
  <c r="U255" i="1"/>
  <c r="Z158" i="1"/>
  <c r="T158" i="1"/>
  <c r="K158" i="1"/>
  <c r="E159" i="1"/>
  <c r="S158" i="1"/>
  <c r="AE256" i="1"/>
  <c r="AE207" i="1"/>
  <c r="AC204" i="1"/>
  <c r="AO203" i="1"/>
  <c r="AC253" i="1"/>
  <c r="AM252" i="1"/>
  <c r="AI202" i="1"/>
  <c r="AI252" i="1" s="1"/>
  <c r="AH202" i="1"/>
  <c r="AH252" i="1" s="1"/>
  <c r="AA206" i="1"/>
  <c r="AA256" i="1" s="1"/>
  <c r="Z256" i="1"/>
  <c r="L206" i="1"/>
  <c r="AI155" i="1"/>
  <c r="X253" i="1" l="1"/>
  <c r="AP203" i="1"/>
  <c r="R156" i="1"/>
  <c r="X156" i="1" s="1"/>
  <c r="AL156" i="1" s="1"/>
  <c r="AH156" i="1" s="1"/>
  <c r="AP155" i="1"/>
  <c r="W157" i="1"/>
  <c r="X204" i="1"/>
  <c r="X254" i="1" s="1"/>
  <c r="R107" i="1"/>
  <c r="X107" i="1" s="1"/>
  <c r="AP107" i="1" s="1"/>
  <c r="AJ155" i="1"/>
  <c r="W107" i="1"/>
  <c r="Y107" i="1" s="1"/>
  <c r="AM107" i="1" s="1"/>
  <c r="AI107" i="1" s="1"/>
  <c r="P157" i="1"/>
  <c r="Y157" i="1"/>
  <c r="AM157" i="1" s="1"/>
  <c r="AI157" i="1" s="1"/>
  <c r="D159" i="1"/>
  <c r="O158" i="1"/>
  <c r="N158" i="1"/>
  <c r="J158" i="1"/>
  <c r="L157" i="1"/>
  <c r="Q157" i="1" s="1"/>
  <c r="AH105" i="1"/>
  <c r="AI156" i="1"/>
  <c r="M108" i="1"/>
  <c r="V108" i="1" s="1"/>
  <c r="AA108" i="1"/>
  <c r="AB108" i="1" s="1"/>
  <c r="AC108" i="1" s="1"/>
  <c r="U158" i="1"/>
  <c r="W205" i="1"/>
  <c r="W255" i="1" s="1"/>
  <c r="U108" i="1"/>
  <c r="F258" i="1"/>
  <c r="C259" i="1"/>
  <c r="E110" i="1"/>
  <c r="T109" i="1"/>
  <c r="Z109" i="1"/>
  <c r="S109" i="1"/>
  <c r="K109" i="1"/>
  <c r="AL106" i="1"/>
  <c r="AP106" i="1"/>
  <c r="AK107" i="1"/>
  <c r="AO204" i="1"/>
  <c r="AC205" i="1"/>
  <c r="AC254" i="1"/>
  <c r="S159" i="1"/>
  <c r="Z159" i="1"/>
  <c r="T159" i="1"/>
  <c r="E160" i="1"/>
  <c r="K159" i="1"/>
  <c r="R205" i="1"/>
  <c r="P108" i="1"/>
  <c r="L207" i="1"/>
  <c r="H257" i="1"/>
  <c r="J257" i="1"/>
  <c r="P207" i="1"/>
  <c r="I158" i="1"/>
  <c r="M158" i="1" s="1"/>
  <c r="V158" i="1" s="1"/>
  <c r="G159" i="1"/>
  <c r="AA207" i="1"/>
  <c r="AA257" i="1" s="1"/>
  <c r="Z257" i="1"/>
  <c r="H208" i="1"/>
  <c r="C114" i="1"/>
  <c r="AF113" i="1"/>
  <c r="AG113" i="1" s="1"/>
  <c r="AD113" i="1"/>
  <c r="AE113" i="1" s="1"/>
  <c r="L108" i="1"/>
  <c r="Q108" i="1" s="1"/>
  <c r="M207" i="1"/>
  <c r="I257" i="1"/>
  <c r="U256" i="1"/>
  <c r="O208" i="1"/>
  <c r="O258" i="1" s="1"/>
  <c r="J208" i="1"/>
  <c r="D209" i="1"/>
  <c r="N208" i="1"/>
  <c r="N258" i="1" s="1"/>
  <c r="F209" i="1"/>
  <c r="C210" i="1"/>
  <c r="G209" i="1"/>
  <c r="AF209" i="1"/>
  <c r="AF259" i="1" s="1"/>
  <c r="AD209" i="1"/>
  <c r="AD259" i="1" s="1"/>
  <c r="AG207" i="1"/>
  <c r="AG256" i="1"/>
  <c r="C162" i="1"/>
  <c r="AF161" i="1"/>
  <c r="AG161" i="1" s="1"/>
  <c r="AD161" i="1"/>
  <c r="AE161" i="1" s="1"/>
  <c r="AO157" i="1"/>
  <c r="Q206" i="1"/>
  <c r="Q256" i="1" s="1"/>
  <c r="L256" i="1"/>
  <c r="F159" i="1"/>
  <c r="H158" i="1"/>
  <c r="AJ156" i="1"/>
  <c r="AK156" i="1"/>
  <c r="AE257" i="1"/>
  <c r="AE208" i="1"/>
  <c r="U207" i="1"/>
  <c r="K257" i="1"/>
  <c r="F110" i="1"/>
  <c r="H109" i="1"/>
  <c r="Y205" i="1"/>
  <c r="AM204" i="1"/>
  <c r="M256" i="1"/>
  <c r="V206" i="1"/>
  <c r="V256" i="1" s="1"/>
  <c r="AB206" i="1"/>
  <c r="AB256" i="1" s="1"/>
  <c r="AK203" i="1"/>
  <c r="AK253" i="1" s="1"/>
  <c r="AJ203" i="1"/>
  <c r="AJ253" i="1" s="1"/>
  <c r="AO253" i="1"/>
  <c r="AS253" i="1" s="1"/>
  <c r="AU253" i="1" s="1"/>
  <c r="AA158" i="1"/>
  <c r="AB158" i="1" s="1"/>
  <c r="AC158" i="1" s="1"/>
  <c r="P256" i="1"/>
  <c r="AH203" i="1"/>
  <c r="AH253" i="1" s="1"/>
  <c r="J109" i="1"/>
  <c r="D110" i="1"/>
  <c r="N109" i="1"/>
  <c r="O109" i="1"/>
  <c r="E209" i="1"/>
  <c r="T208" i="1"/>
  <c r="T258" i="1" s="1"/>
  <c r="S208" i="1"/>
  <c r="S258" i="1" s="1"/>
  <c r="K208" i="1"/>
  <c r="Z208" i="1"/>
  <c r="G258" i="1"/>
  <c r="I208" i="1"/>
  <c r="G110" i="1"/>
  <c r="I109" i="1"/>
  <c r="AL204" i="1" l="1"/>
  <c r="AL254" i="1" s="1"/>
  <c r="AT254" i="1" s="1"/>
  <c r="AP156" i="1"/>
  <c r="AP204" i="1"/>
  <c r="U159" i="1"/>
  <c r="AL107" i="1"/>
  <c r="AJ107" i="1" s="1"/>
  <c r="L158" i="1"/>
  <c r="R157" i="1"/>
  <c r="X157" i="1" s="1"/>
  <c r="AP157" i="1" s="1"/>
  <c r="P158" i="1"/>
  <c r="W108" i="1"/>
  <c r="Y108" i="1" s="1"/>
  <c r="AM108" i="1" s="1"/>
  <c r="AI108" i="1" s="1"/>
  <c r="O159" i="1"/>
  <c r="N159" i="1"/>
  <c r="J159" i="1"/>
  <c r="D160" i="1"/>
  <c r="Q158" i="1"/>
  <c r="H209" i="1"/>
  <c r="H259" i="1" s="1"/>
  <c r="W158" i="1"/>
  <c r="M109" i="1"/>
  <c r="V109" i="1" s="1"/>
  <c r="AO108" i="1"/>
  <c r="AK108" i="1" s="1"/>
  <c r="C260" i="1"/>
  <c r="F259" i="1"/>
  <c r="P109" i="1"/>
  <c r="AB207" i="1"/>
  <c r="AB257" i="1" s="1"/>
  <c r="Y158" i="1"/>
  <c r="AM158" i="1" s="1"/>
  <c r="AI158" i="1" s="1"/>
  <c r="AA109" i="1"/>
  <c r="AB109" i="1" s="1"/>
  <c r="AC109" i="1" s="1"/>
  <c r="U109" i="1"/>
  <c r="E111" i="1"/>
  <c r="T110" i="1"/>
  <c r="S110" i="1"/>
  <c r="Z110" i="1"/>
  <c r="K110" i="1"/>
  <c r="AO158" i="1"/>
  <c r="U208" i="1"/>
  <c r="K258" i="1"/>
  <c r="F111" i="1"/>
  <c r="H110" i="1"/>
  <c r="U257" i="1"/>
  <c r="P257" i="1"/>
  <c r="R108" i="1"/>
  <c r="X108" i="1" s="1"/>
  <c r="AO205" i="1"/>
  <c r="AC255" i="1"/>
  <c r="AC206" i="1"/>
  <c r="AJ106" i="1"/>
  <c r="AH106" i="1"/>
  <c r="M208" i="1"/>
  <c r="I258" i="1"/>
  <c r="R206" i="1"/>
  <c r="AI204" i="1"/>
  <c r="AI254" i="1" s="1"/>
  <c r="AH204" i="1"/>
  <c r="AH254" i="1" s="1"/>
  <c r="AM254" i="1"/>
  <c r="AK157" i="1"/>
  <c r="C163" i="1"/>
  <c r="AD162" i="1"/>
  <c r="AE162" i="1" s="1"/>
  <c r="AF162" i="1"/>
  <c r="AG162" i="1" s="1"/>
  <c r="Y206" i="1"/>
  <c r="AF114" i="1"/>
  <c r="AG114" i="1" s="1"/>
  <c r="C115" i="1"/>
  <c r="AD114" i="1"/>
  <c r="AE114" i="1" s="1"/>
  <c r="R255" i="1"/>
  <c r="X205" i="1"/>
  <c r="AA159" i="1"/>
  <c r="AB159" i="1" s="1"/>
  <c r="AC159" i="1" s="1"/>
  <c r="AJ204" i="1"/>
  <c r="AJ254" i="1" s="1"/>
  <c r="AK204" i="1"/>
  <c r="AK254" i="1" s="1"/>
  <c r="AO254" i="1"/>
  <c r="AS254" i="1" s="1"/>
  <c r="AU254" i="1" s="1"/>
  <c r="I110" i="1"/>
  <c r="G111" i="1"/>
  <c r="D111" i="1"/>
  <c r="O110" i="1"/>
  <c r="N110" i="1"/>
  <c r="J110" i="1"/>
  <c r="AM205" i="1"/>
  <c r="Y255" i="1"/>
  <c r="F160" i="1"/>
  <c r="H159" i="1"/>
  <c r="G259" i="1"/>
  <c r="I209" i="1"/>
  <c r="D210" i="1"/>
  <c r="J209" i="1"/>
  <c r="N209" i="1"/>
  <c r="N259" i="1" s="1"/>
  <c r="O209" i="1"/>
  <c r="O259" i="1" s="1"/>
  <c r="W206" i="1"/>
  <c r="W256" i="1" s="1"/>
  <c r="L208" i="1"/>
  <c r="H258" i="1"/>
  <c r="G160" i="1"/>
  <c r="I159" i="1"/>
  <c r="M159" i="1" s="1"/>
  <c r="V159" i="1" s="1"/>
  <c r="Y159" i="1" s="1"/>
  <c r="AA208" i="1"/>
  <c r="AA258" i="1" s="1"/>
  <c r="Z258" i="1"/>
  <c r="T209" i="1"/>
  <c r="T259" i="1" s="1"/>
  <c r="S209" i="1"/>
  <c r="S259" i="1" s="1"/>
  <c r="K209" i="1"/>
  <c r="E210" i="1"/>
  <c r="Z209" i="1"/>
  <c r="L109" i="1"/>
  <c r="Q109" i="1" s="1"/>
  <c r="AE258" i="1"/>
  <c r="AE209" i="1"/>
  <c r="AG257" i="1"/>
  <c r="AG208" i="1"/>
  <c r="G210" i="1"/>
  <c r="F210" i="1"/>
  <c r="C211" i="1"/>
  <c r="AD210" i="1"/>
  <c r="AD260" i="1" s="1"/>
  <c r="AF210" i="1"/>
  <c r="AF260" i="1" s="1"/>
  <c r="P208" i="1"/>
  <c r="J258" i="1"/>
  <c r="V207" i="1"/>
  <c r="V257" i="1" s="1"/>
  <c r="M257" i="1"/>
  <c r="Q207" i="1"/>
  <c r="Q257" i="1" s="1"/>
  <c r="L257" i="1"/>
  <c r="Z160" i="1"/>
  <c r="S160" i="1"/>
  <c r="T160" i="1"/>
  <c r="K160" i="1"/>
  <c r="E161" i="1"/>
  <c r="L159" i="1" l="1"/>
  <c r="R158" i="1"/>
  <c r="X158" i="1" s="1"/>
  <c r="AP158" i="1" s="1"/>
  <c r="AL157" i="1"/>
  <c r="AH157" i="1" s="1"/>
  <c r="AH107" i="1"/>
  <c r="L209" i="1"/>
  <c r="Q209" i="1" s="1"/>
  <c r="Q259" i="1" s="1"/>
  <c r="Q159" i="1"/>
  <c r="P159" i="1"/>
  <c r="D161" i="1"/>
  <c r="N160" i="1"/>
  <c r="J160" i="1"/>
  <c r="O160" i="1"/>
  <c r="W109" i="1"/>
  <c r="Y109" i="1" s="1"/>
  <c r="AM109" i="1" s="1"/>
  <c r="AI109" i="1" s="1"/>
  <c r="M110" i="1"/>
  <c r="V110" i="1" s="1"/>
  <c r="R109" i="1"/>
  <c r="X109" i="1" s="1"/>
  <c r="AP109" i="1" s="1"/>
  <c r="U110" i="1"/>
  <c r="AO109" i="1"/>
  <c r="AK109" i="1" s="1"/>
  <c r="K111" i="1"/>
  <c r="T111" i="1"/>
  <c r="S111" i="1"/>
  <c r="E112" i="1"/>
  <c r="Z111" i="1"/>
  <c r="C261" i="1"/>
  <c r="F260" i="1"/>
  <c r="H210" i="1"/>
  <c r="AA110" i="1"/>
  <c r="AB110" i="1" s="1"/>
  <c r="AC110" i="1" s="1"/>
  <c r="U160" i="1"/>
  <c r="W159" i="1"/>
  <c r="AO159" i="1"/>
  <c r="AP108" i="1"/>
  <c r="AL108" i="1"/>
  <c r="AM159" i="1"/>
  <c r="AA160" i="1"/>
  <c r="AB160" i="1" s="1"/>
  <c r="AC160" i="1" s="1"/>
  <c r="P258" i="1"/>
  <c r="AE210" i="1"/>
  <c r="AE259" i="1"/>
  <c r="AO255" i="1"/>
  <c r="AS255" i="1" s="1"/>
  <c r="AK205" i="1"/>
  <c r="AK255" i="1" s="1"/>
  <c r="C212" i="1"/>
  <c r="AD211" i="1"/>
  <c r="AD261" i="1" s="1"/>
  <c r="G211" i="1"/>
  <c r="AF211" i="1"/>
  <c r="AF261" i="1" s="1"/>
  <c r="F211" i="1"/>
  <c r="K259" i="1"/>
  <c r="U209" i="1"/>
  <c r="AB208" i="1"/>
  <c r="AB258" i="1" s="1"/>
  <c r="D211" i="1"/>
  <c r="J210" i="1"/>
  <c r="N210" i="1"/>
  <c r="N260" i="1" s="1"/>
  <c r="O210" i="1"/>
  <c r="O260" i="1" s="1"/>
  <c r="H160" i="1"/>
  <c r="L160" i="1" s="1"/>
  <c r="F161" i="1"/>
  <c r="M258" i="1"/>
  <c r="V208" i="1"/>
  <c r="V258" i="1" s="1"/>
  <c r="R207" i="1"/>
  <c r="R257" i="1" s="1"/>
  <c r="Y207" i="1"/>
  <c r="H260" i="1"/>
  <c r="Q208" i="1"/>
  <c r="Q258" i="1" s="1"/>
  <c r="L258" i="1"/>
  <c r="AD115" i="1"/>
  <c r="AE115" i="1" s="1"/>
  <c r="AF115" i="1"/>
  <c r="AG115" i="1" s="1"/>
  <c r="C116" i="1"/>
  <c r="O111" i="1"/>
  <c r="D112" i="1"/>
  <c r="N111" i="1"/>
  <c r="J111" i="1"/>
  <c r="X255" i="1"/>
  <c r="AL205" i="1"/>
  <c r="AL255" i="1" s="1"/>
  <c r="AT255" i="1" s="1"/>
  <c r="AP205" i="1"/>
  <c r="AD163" i="1"/>
  <c r="AE163" i="1" s="1"/>
  <c r="C164" i="1"/>
  <c r="AF163" i="1"/>
  <c r="AG163" i="1" s="1"/>
  <c r="R256" i="1"/>
  <c r="X206" i="1"/>
  <c r="L110" i="1"/>
  <c r="Q110" i="1" s="1"/>
  <c r="AK158" i="1"/>
  <c r="K161" i="1"/>
  <c r="T161" i="1"/>
  <c r="S161" i="1"/>
  <c r="Z161" i="1"/>
  <c r="E162" i="1"/>
  <c r="I259" i="1"/>
  <c r="M209" i="1"/>
  <c r="AM255" i="1"/>
  <c r="AI205" i="1"/>
  <c r="AI255" i="1" s="1"/>
  <c r="I210" i="1"/>
  <c r="G260" i="1"/>
  <c r="Z259" i="1"/>
  <c r="AA209" i="1"/>
  <c r="AA259" i="1" s="1"/>
  <c r="AG258" i="1"/>
  <c r="AG209" i="1"/>
  <c r="Z210" i="1"/>
  <c r="S210" i="1"/>
  <c r="S260" i="1" s="1"/>
  <c r="E211" i="1"/>
  <c r="K210" i="1"/>
  <c r="T210" i="1"/>
  <c r="T260" i="1" s="1"/>
  <c r="G161" i="1"/>
  <c r="I160" i="1"/>
  <c r="M160" i="1" s="1"/>
  <c r="V160" i="1" s="1"/>
  <c r="J259" i="1"/>
  <c r="P209" i="1"/>
  <c r="P110" i="1"/>
  <c r="G112" i="1"/>
  <c r="I111" i="1"/>
  <c r="AM206" i="1"/>
  <c r="Y256" i="1"/>
  <c r="AC256" i="1"/>
  <c r="AC207" i="1"/>
  <c r="AO206" i="1"/>
  <c r="W207" i="1"/>
  <c r="W257" i="1" s="1"/>
  <c r="F112" i="1"/>
  <c r="H111" i="1"/>
  <c r="U258" i="1"/>
  <c r="AL158" i="1" l="1"/>
  <c r="AH158" i="1" s="1"/>
  <c r="AJ157" i="1"/>
  <c r="L259" i="1"/>
  <c r="Y160" i="1"/>
  <c r="AM160" i="1" s="1"/>
  <c r="AI160" i="1" s="1"/>
  <c r="R159" i="1"/>
  <c r="X159" i="1" s="1"/>
  <c r="AL159" i="1" s="1"/>
  <c r="AJ159" i="1" s="1"/>
  <c r="L210" i="1"/>
  <c r="L260" i="1" s="1"/>
  <c r="P160" i="1"/>
  <c r="U161" i="1"/>
  <c r="Q160" i="1"/>
  <c r="W110" i="1"/>
  <c r="Y110" i="1" s="1"/>
  <c r="AM110" i="1" s="1"/>
  <c r="AI110" i="1" s="1"/>
  <c r="O161" i="1"/>
  <c r="N161" i="1"/>
  <c r="J161" i="1"/>
  <c r="D162" i="1"/>
  <c r="AL109" i="1"/>
  <c r="AH109" i="1" s="1"/>
  <c r="AB209" i="1"/>
  <c r="AB259" i="1" s="1"/>
  <c r="M111" i="1"/>
  <c r="V111" i="1" s="1"/>
  <c r="P111" i="1"/>
  <c r="AO110" i="1"/>
  <c r="AK110" i="1" s="1"/>
  <c r="W208" i="1"/>
  <c r="W258" i="1" s="1"/>
  <c r="F261" i="1"/>
  <c r="C262" i="1"/>
  <c r="Y208" i="1"/>
  <c r="Y258" i="1" s="1"/>
  <c r="AA111" i="1"/>
  <c r="AB111" i="1" s="1"/>
  <c r="AC111" i="1" s="1"/>
  <c r="U111" i="1"/>
  <c r="Z112" i="1"/>
  <c r="S112" i="1"/>
  <c r="E113" i="1"/>
  <c r="T112" i="1"/>
  <c r="K112" i="1"/>
  <c r="AO160" i="1"/>
  <c r="R110" i="1"/>
  <c r="X110" i="1" s="1"/>
  <c r="AA210" i="1"/>
  <c r="AA260" i="1" s="1"/>
  <c r="Z260" i="1"/>
  <c r="AA161" i="1"/>
  <c r="AB161" i="1" s="1"/>
  <c r="AC161" i="1" s="1"/>
  <c r="X256" i="1"/>
  <c r="AL206" i="1"/>
  <c r="AL256" i="1" s="1"/>
  <c r="AT256" i="1" s="1"/>
  <c r="AP206" i="1"/>
  <c r="C117" i="1"/>
  <c r="AD116" i="1"/>
  <c r="AE116" i="1" s="1"/>
  <c r="AF116" i="1"/>
  <c r="AG116" i="1" s="1"/>
  <c r="J211" i="1"/>
  <c r="O211" i="1"/>
  <c r="O261" i="1" s="1"/>
  <c r="D212" i="1"/>
  <c r="N211" i="1"/>
  <c r="N261" i="1" s="1"/>
  <c r="H211" i="1"/>
  <c r="AD212" i="1"/>
  <c r="AD262" i="1" s="1"/>
  <c r="C213" i="1"/>
  <c r="F212" i="1"/>
  <c r="G212" i="1"/>
  <c r="AF212" i="1"/>
  <c r="AF262" i="1" s="1"/>
  <c r="AJ108" i="1"/>
  <c r="AH108" i="1"/>
  <c r="L111" i="1"/>
  <c r="Q111" i="1" s="1"/>
  <c r="AC208" i="1"/>
  <c r="AO207" i="1"/>
  <c r="AC257" i="1"/>
  <c r="AI206" i="1"/>
  <c r="AI256" i="1" s="1"/>
  <c r="AM256" i="1"/>
  <c r="U210" i="1"/>
  <c r="K260" i="1"/>
  <c r="AG210" i="1"/>
  <c r="AG259" i="1"/>
  <c r="AH205" i="1"/>
  <c r="AH255" i="1" s="1"/>
  <c r="AE211" i="1"/>
  <c r="AE260" i="1"/>
  <c r="H112" i="1"/>
  <c r="F113" i="1"/>
  <c r="Z211" i="1"/>
  <c r="E212" i="1"/>
  <c r="K211" i="1"/>
  <c r="S211" i="1"/>
  <c r="S261" i="1" s="1"/>
  <c r="T211" i="1"/>
  <c r="T261" i="1" s="1"/>
  <c r="W160" i="1"/>
  <c r="N112" i="1"/>
  <c r="O112" i="1"/>
  <c r="J112" i="1"/>
  <c r="D113" i="1"/>
  <c r="U259" i="1"/>
  <c r="G261" i="1"/>
  <c r="I211" i="1"/>
  <c r="AU255" i="1"/>
  <c r="R208" i="1"/>
  <c r="R258" i="1" s="1"/>
  <c r="AO256" i="1"/>
  <c r="AS256" i="1" s="1"/>
  <c r="AK206" i="1"/>
  <c r="AK256" i="1" s="1"/>
  <c r="R209" i="1"/>
  <c r="R259" i="1" s="1"/>
  <c r="P259" i="1"/>
  <c r="I112" i="1"/>
  <c r="G113" i="1"/>
  <c r="I161" i="1"/>
  <c r="M161" i="1" s="1"/>
  <c r="V161" i="1" s="1"/>
  <c r="G162" i="1"/>
  <c r="M210" i="1"/>
  <c r="I260" i="1"/>
  <c r="V209" i="1"/>
  <c r="V259" i="1" s="1"/>
  <c r="M259" i="1"/>
  <c r="T162" i="1"/>
  <c r="E163" i="1"/>
  <c r="S162" i="1"/>
  <c r="K162" i="1"/>
  <c r="Z162" i="1"/>
  <c r="X207" i="1"/>
  <c r="AD164" i="1"/>
  <c r="AE164" i="1" s="1"/>
  <c r="C165" i="1"/>
  <c r="AF164" i="1"/>
  <c r="AG164" i="1" s="1"/>
  <c r="AM207" i="1"/>
  <c r="Y257" i="1"/>
  <c r="F162" i="1"/>
  <c r="H161" i="1"/>
  <c r="P210" i="1"/>
  <c r="J260" i="1"/>
  <c r="AJ205" i="1"/>
  <c r="AJ255" i="1" s="1"/>
  <c r="AI159" i="1"/>
  <c r="AK159" i="1"/>
  <c r="Q210" i="1" l="1"/>
  <c r="Q260" i="1" s="1"/>
  <c r="AJ158" i="1"/>
  <c r="L161" i="1"/>
  <c r="Q161" i="1" s="1"/>
  <c r="AH206" i="1"/>
  <c r="AH256" i="1" s="1"/>
  <c r="AP159" i="1"/>
  <c r="W161" i="1"/>
  <c r="AJ109" i="1"/>
  <c r="M112" i="1"/>
  <c r="AH159" i="1"/>
  <c r="P161" i="1"/>
  <c r="W111" i="1"/>
  <c r="Y111" i="1" s="1"/>
  <c r="AM111" i="1" s="1"/>
  <c r="AI111" i="1" s="1"/>
  <c r="N162" i="1"/>
  <c r="J162" i="1"/>
  <c r="O162" i="1"/>
  <c r="D163" i="1"/>
  <c r="R160" i="1"/>
  <c r="X160" i="1" s="1"/>
  <c r="AU256" i="1"/>
  <c r="U112" i="1"/>
  <c r="AJ206" i="1"/>
  <c r="AJ256" i="1" s="1"/>
  <c r="L112" i="1"/>
  <c r="Q112" i="1" s="1"/>
  <c r="AO111" i="1"/>
  <c r="AK111" i="1" s="1"/>
  <c r="C263" i="1"/>
  <c r="F262" i="1"/>
  <c r="V112" i="1"/>
  <c r="E114" i="1"/>
  <c r="Z113" i="1"/>
  <c r="AA113" i="1" s="1"/>
  <c r="AB113" i="1" s="1"/>
  <c r="S113" i="1"/>
  <c r="K113" i="1"/>
  <c r="T113" i="1"/>
  <c r="X208" i="1"/>
  <c r="AL208" i="1" s="1"/>
  <c r="AL258" i="1" s="1"/>
  <c r="AT258" i="1" s="1"/>
  <c r="AB210" i="1"/>
  <c r="AB260" i="1" s="1"/>
  <c r="H212" i="1"/>
  <c r="H262" i="1" s="1"/>
  <c r="AA112" i="1"/>
  <c r="AB112" i="1" s="1"/>
  <c r="AC112" i="1" s="1"/>
  <c r="AP110" i="1"/>
  <c r="AL110" i="1"/>
  <c r="AO161" i="1"/>
  <c r="Y161" i="1"/>
  <c r="AM161" i="1" s="1"/>
  <c r="W209" i="1"/>
  <c r="W259" i="1" s="1"/>
  <c r="H162" i="1"/>
  <c r="F163" i="1"/>
  <c r="AI207" i="1"/>
  <c r="AI257" i="1" s="1"/>
  <c r="AM257" i="1"/>
  <c r="AP207" i="1"/>
  <c r="AL207" i="1"/>
  <c r="AL257" i="1" s="1"/>
  <c r="AT257" i="1" s="1"/>
  <c r="X257" i="1"/>
  <c r="U162" i="1"/>
  <c r="G163" i="1"/>
  <c r="I162" i="1"/>
  <c r="M162" i="1" s="1"/>
  <c r="V162" i="1" s="1"/>
  <c r="Y209" i="1"/>
  <c r="F114" i="1"/>
  <c r="H113" i="1"/>
  <c r="AG211" i="1"/>
  <c r="AG260" i="1"/>
  <c r="AO208" i="1"/>
  <c r="AC258" i="1"/>
  <c r="AC209" i="1"/>
  <c r="AF117" i="1"/>
  <c r="AG117" i="1" s="1"/>
  <c r="AD117" i="1"/>
  <c r="AE117" i="1" s="1"/>
  <c r="AM208" i="1"/>
  <c r="AE261" i="1"/>
  <c r="AE212" i="1"/>
  <c r="L211" i="1"/>
  <c r="H261" i="1"/>
  <c r="R111" i="1"/>
  <c r="X111" i="1" s="1"/>
  <c r="AK160" i="1"/>
  <c r="R210" i="1"/>
  <c r="R260" i="1" s="1"/>
  <c r="P260" i="1"/>
  <c r="AF165" i="1"/>
  <c r="AG165" i="1" s="1"/>
  <c r="AD165" i="1"/>
  <c r="AE165" i="1" s="1"/>
  <c r="C166" i="1"/>
  <c r="M211" i="1"/>
  <c r="I261" i="1"/>
  <c r="O113" i="1"/>
  <c r="N113" i="1"/>
  <c r="J113" i="1"/>
  <c r="D114" i="1"/>
  <c r="Z212" i="1"/>
  <c r="T212" i="1"/>
  <c r="T262" i="1" s="1"/>
  <c r="E213" i="1"/>
  <c r="K212" i="1"/>
  <c r="S212" i="1"/>
  <c r="S262" i="1" s="1"/>
  <c r="U260" i="1"/>
  <c r="U211" i="1"/>
  <c r="K261" i="1"/>
  <c r="I212" i="1"/>
  <c r="G262" i="1"/>
  <c r="J261" i="1"/>
  <c r="P211" i="1"/>
  <c r="T163" i="1"/>
  <c r="K163" i="1"/>
  <c r="Z163" i="1"/>
  <c r="E164" i="1"/>
  <c r="S163" i="1"/>
  <c r="X258" i="1"/>
  <c r="AA162" i="1"/>
  <c r="AB162" i="1" s="1"/>
  <c r="AC162" i="1" s="1"/>
  <c r="V210" i="1"/>
  <c r="V260" i="1" s="1"/>
  <c r="M260" i="1"/>
  <c r="G114" i="1"/>
  <c r="I113" i="1"/>
  <c r="X209" i="1"/>
  <c r="P112" i="1"/>
  <c r="Z261" i="1"/>
  <c r="AA211" i="1"/>
  <c r="AA261" i="1" s="1"/>
  <c r="AK207" i="1"/>
  <c r="AK257" i="1" s="1"/>
  <c r="AO257" i="1"/>
  <c r="AS257" i="1" s="1"/>
  <c r="AF213" i="1"/>
  <c r="AF263" i="1" s="1"/>
  <c r="G213" i="1"/>
  <c r="F213" i="1"/>
  <c r="C214" i="1"/>
  <c r="AD213" i="1"/>
  <c r="AD263" i="1" s="1"/>
  <c r="N212" i="1"/>
  <c r="N262" i="1" s="1"/>
  <c r="J212" i="1"/>
  <c r="D213" i="1"/>
  <c r="O212" i="1"/>
  <c r="O262" i="1" s="1"/>
  <c r="R161" i="1" l="1"/>
  <c r="X161" i="1" s="1"/>
  <c r="L162" i="1"/>
  <c r="Q162" i="1" s="1"/>
  <c r="U113" i="1"/>
  <c r="P162" i="1"/>
  <c r="AL160" i="1"/>
  <c r="AP160" i="1"/>
  <c r="D164" i="1"/>
  <c r="J163" i="1"/>
  <c r="N163" i="1"/>
  <c r="O163" i="1"/>
  <c r="AU257" i="1"/>
  <c r="W112" i="1"/>
  <c r="Y112" i="1" s="1"/>
  <c r="AM112" i="1" s="1"/>
  <c r="AI112" i="1" s="1"/>
  <c r="AJ207" i="1"/>
  <c r="AJ257" i="1" s="1"/>
  <c r="L212" i="1"/>
  <c r="L262" i="1" s="1"/>
  <c r="AC113" i="1"/>
  <c r="AO113" i="1" s="1"/>
  <c r="AO112" i="1"/>
  <c r="AK112" i="1" s="1"/>
  <c r="AP208" i="1"/>
  <c r="M113" i="1"/>
  <c r="V113" i="1" s="1"/>
  <c r="P113" i="1"/>
  <c r="X210" i="1"/>
  <c r="X260" i="1" s="1"/>
  <c r="F263" i="1"/>
  <c r="C264" i="1"/>
  <c r="S114" i="1"/>
  <c r="T114" i="1"/>
  <c r="E115" i="1"/>
  <c r="K114" i="1"/>
  <c r="Z114" i="1"/>
  <c r="AP111" i="1"/>
  <c r="AL111" i="1"/>
  <c r="AO162" i="1"/>
  <c r="Z262" i="1"/>
  <c r="AA212" i="1"/>
  <c r="AA262" i="1" s="1"/>
  <c r="AE262" i="1"/>
  <c r="AE213" i="1"/>
  <c r="AC210" i="1"/>
  <c r="AO209" i="1"/>
  <c r="AC259" i="1"/>
  <c r="AG212" i="1"/>
  <c r="AG261" i="1"/>
  <c r="Y162" i="1"/>
  <c r="AM162" i="1" s="1"/>
  <c r="W162" i="1"/>
  <c r="P212" i="1"/>
  <c r="J262" i="1"/>
  <c r="H213" i="1"/>
  <c r="G115" i="1"/>
  <c r="I114" i="1"/>
  <c r="M114" i="1" s="1"/>
  <c r="U163" i="1"/>
  <c r="U212" i="1"/>
  <c r="K262" i="1"/>
  <c r="J114" i="1"/>
  <c r="D115" i="1"/>
  <c r="N114" i="1"/>
  <c r="O114" i="1"/>
  <c r="Q211" i="1"/>
  <c r="Q261" i="1" s="1"/>
  <c r="L261" i="1"/>
  <c r="AH208" i="1"/>
  <c r="AH258" i="1" s="1"/>
  <c r="AM258" i="1"/>
  <c r="AI208" i="1"/>
  <c r="AI258" i="1" s="1"/>
  <c r="L113" i="1"/>
  <c r="Q113" i="1" s="1"/>
  <c r="AH207" i="1"/>
  <c r="AH257" i="1" s="1"/>
  <c r="AJ110" i="1"/>
  <c r="AH110" i="1"/>
  <c r="W210" i="1"/>
  <c r="W260" i="1" s="1"/>
  <c r="I213" i="1"/>
  <c r="G263" i="1"/>
  <c r="R112" i="1"/>
  <c r="X112" i="1" s="1"/>
  <c r="M212" i="1"/>
  <c r="I262" i="1"/>
  <c r="U261" i="1"/>
  <c r="Q212" i="1"/>
  <c r="Q262" i="1" s="1"/>
  <c r="Z213" i="1"/>
  <c r="E214" i="1"/>
  <c r="T213" i="1"/>
  <c r="T263" i="1" s="1"/>
  <c r="S213" i="1"/>
  <c r="S263" i="1" s="1"/>
  <c r="K213" i="1"/>
  <c r="V211" i="1"/>
  <c r="V261" i="1" s="1"/>
  <c r="M261" i="1"/>
  <c r="AD166" i="1"/>
  <c r="AE166" i="1" s="1"/>
  <c r="AF166" i="1"/>
  <c r="AG166" i="1" s="1"/>
  <c r="AL210" i="1"/>
  <c r="AL260" i="1" s="1"/>
  <c r="AT260" i="1" s="1"/>
  <c r="AK208" i="1"/>
  <c r="AK258" i="1" s="1"/>
  <c r="AO258" i="1"/>
  <c r="AS258" i="1" s="1"/>
  <c r="AU258" i="1" s="1"/>
  <c r="AJ208" i="1"/>
  <c r="AJ258" i="1" s="1"/>
  <c r="F115" i="1"/>
  <c r="H114" i="1"/>
  <c r="AI161" i="1"/>
  <c r="O213" i="1"/>
  <c r="O263" i="1" s="1"/>
  <c r="D214" i="1"/>
  <c r="J213" i="1"/>
  <c r="N213" i="1"/>
  <c r="N263" i="1" s="1"/>
  <c r="AF214" i="1"/>
  <c r="AF264" i="1" s="1"/>
  <c r="G214" i="1"/>
  <c r="AD214" i="1"/>
  <c r="AD264" i="1" s="1"/>
  <c r="C215" i="1"/>
  <c r="F214" i="1"/>
  <c r="AA163" i="1"/>
  <c r="AB163" i="1" s="1"/>
  <c r="AC163" i="1" s="1"/>
  <c r="AB211" i="1"/>
  <c r="AB261" i="1" s="1"/>
  <c r="AL209" i="1"/>
  <c r="AL259" i="1" s="1"/>
  <c r="AT259" i="1" s="1"/>
  <c r="X259" i="1"/>
  <c r="AP209" i="1"/>
  <c r="E165" i="1"/>
  <c r="T164" i="1"/>
  <c r="Z164" i="1"/>
  <c r="K164" i="1"/>
  <c r="S164" i="1"/>
  <c r="P261" i="1"/>
  <c r="Y210" i="1"/>
  <c r="AM209" i="1"/>
  <c r="Y259" i="1"/>
  <c r="G164" i="1"/>
  <c r="I163" i="1"/>
  <c r="M163" i="1" s="1"/>
  <c r="V163" i="1" s="1"/>
  <c r="F164" i="1"/>
  <c r="H163" i="1"/>
  <c r="AK161" i="1"/>
  <c r="P163" i="1" l="1"/>
  <c r="R162" i="1"/>
  <c r="X162" i="1" s="1"/>
  <c r="V114" i="1"/>
  <c r="L163" i="1"/>
  <c r="Q163" i="1" s="1"/>
  <c r="R163" i="1" s="1"/>
  <c r="X163" i="1" s="1"/>
  <c r="AP161" i="1"/>
  <c r="AL161" i="1"/>
  <c r="J164" i="1"/>
  <c r="O164" i="1"/>
  <c r="N164" i="1"/>
  <c r="D165" i="1"/>
  <c r="AJ160" i="1"/>
  <c r="AH160" i="1"/>
  <c r="R113" i="1"/>
  <c r="X113" i="1" s="1"/>
  <c r="AP113" i="1" s="1"/>
  <c r="U114" i="1"/>
  <c r="L114" i="1"/>
  <c r="Q114" i="1" s="1"/>
  <c r="AP210" i="1"/>
  <c r="W113" i="1"/>
  <c r="Y113" i="1" s="1"/>
  <c r="AM113" i="1" s="1"/>
  <c r="AA114" i="1"/>
  <c r="AB114" i="1" s="1"/>
  <c r="AC114" i="1" s="1"/>
  <c r="AO114" i="1" s="1"/>
  <c r="Z115" i="1"/>
  <c r="E116" i="1"/>
  <c r="S115" i="1"/>
  <c r="K115" i="1"/>
  <c r="T115" i="1"/>
  <c r="R211" i="1"/>
  <c r="R261" i="1" s="1"/>
  <c r="C265" i="1"/>
  <c r="F264" i="1"/>
  <c r="AP112" i="1"/>
  <c r="AL112" i="1"/>
  <c r="AO163" i="1"/>
  <c r="AA164" i="1"/>
  <c r="AB164" i="1" s="1"/>
  <c r="AC164" i="1" s="1"/>
  <c r="G264" i="1"/>
  <c r="I214" i="1"/>
  <c r="J214" i="1"/>
  <c r="O214" i="1"/>
  <c r="O264" i="1" s="1"/>
  <c r="N214" i="1"/>
  <c r="N264" i="1" s="1"/>
  <c r="D215" i="1"/>
  <c r="AL113" i="1"/>
  <c r="AJ113" i="1" s="1"/>
  <c r="E215" i="1"/>
  <c r="T214" i="1"/>
  <c r="T264" i="1" s="1"/>
  <c r="K214" i="1"/>
  <c r="S214" i="1"/>
  <c r="S264" i="1" s="1"/>
  <c r="Z214" i="1"/>
  <c r="M262" i="1"/>
  <c r="V212" i="1"/>
  <c r="V262" i="1" s="1"/>
  <c r="U262" i="1"/>
  <c r="H263" i="1"/>
  <c r="L213" i="1"/>
  <c r="AI162" i="1"/>
  <c r="AK209" i="1"/>
  <c r="AK259" i="1" s="1"/>
  <c r="AO259" i="1"/>
  <c r="AS259" i="1" s="1"/>
  <c r="AU259" i="1" s="1"/>
  <c r="AJ209" i="1"/>
  <c r="AJ259" i="1" s="1"/>
  <c r="F165" i="1"/>
  <c r="H164" i="1"/>
  <c r="AH209" i="1"/>
  <c r="AH259" i="1" s="1"/>
  <c r="AM259" i="1"/>
  <c r="AI209" i="1"/>
  <c r="AI259" i="1" s="1"/>
  <c r="H214" i="1"/>
  <c r="F116" i="1"/>
  <c r="H115" i="1"/>
  <c r="K263" i="1"/>
  <c r="U213" i="1"/>
  <c r="Z263" i="1"/>
  <c r="AA213" i="1"/>
  <c r="AA263" i="1" s="1"/>
  <c r="W211" i="1"/>
  <c r="W261" i="1" s="1"/>
  <c r="N115" i="1"/>
  <c r="J115" i="1"/>
  <c r="D116" i="1"/>
  <c r="O115" i="1"/>
  <c r="W163" i="1"/>
  <c r="Y163" i="1"/>
  <c r="AM163" i="1" s="1"/>
  <c r="AC260" i="1"/>
  <c r="AO210" i="1"/>
  <c r="AC211" i="1"/>
  <c r="AK162" i="1"/>
  <c r="AM210" i="1"/>
  <c r="Y260" i="1"/>
  <c r="S165" i="1"/>
  <c r="Z165" i="1"/>
  <c r="E166" i="1"/>
  <c r="T165" i="1"/>
  <c r="K165" i="1"/>
  <c r="AF215" i="1"/>
  <c r="AF265" i="1" s="1"/>
  <c r="G215" i="1"/>
  <c r="F215" i="1"/>
  <c r="AD215" i="1"/>
  <c r="AD265" i="1" s="1"/>
  <c r="C216" i="1"/>
  <c r="AK113" i="1"/>
  <c r="Y211" i="1"/>
  <c r="M213" i="1"/>
  <c r="I263" i="1"/>
  <c r="P114" i="1"/>
  <c r="P262" i="1"/>
  <c r="R212" i="1"/>
  <c r="R262" i="1" s="1"/>
  <c r="AG262" i="1"/>
  <c r="AG213" i="1"/>
  <c r="AE214" i="1"/>
  <c r="AE263" i="1"/>
  <c r="G165" i="1"/>
  <c r="I164" i="1"/>
  <c r="M164" i="1" s="1"/>
  <c r="V164" i="1" s="1"/>
  <c r="U164" i="1"/>
  <c r="J263" i="1"/>
  <c r="P213" i="1"/>
  <c r="G116" i="1"/>
  <c r="I115" i="1"/>
  <c r="AB212" i="1"/>
  <c r="AB262" i="1" s="1"/>
  <c r="AJ111" i="1"/>
  <c r="AH111" i="1"/>
  <c r="L164" i="1" l="1"/>
  <c r="W114" i="1"/>
  <c r="Y114" i="1" s="1"/>
  <c r="AM114" i="1" s="1"/>
  <c r="AI114" i="1" s="1"/>
  <c r="U165" i="1"/>
  <c r="AJ161" i="1"/>
  <c r="AH161" i="1"/>
  <c r="Q164" i="1"/>
  <c r="AP162" i="1"/>
  <c r="AL162" i="1"/>
  <c r="O165" i="1"/>
  <c r="N165" i="1"/>
  <c r="D166" i="1"/>
  <c r="J165" i="1"/>
  <c r="P164" i="1"/>
  <c r="M115" i="1"/>
  <c r="V115" i="1" s="1"/>
  <c r="L115" i="1"/>
  <c r="Q115" i="1" s="1"/>
  <c r="W212" i="1"/>
  <c r="W262" i="1" s="1"/>
  <c r="Y212" i="1"/>
  <c r="Y262" i="1" s="1"/>
  <c r="AI113" i="1"/>
  <c r="AH113" i="1"/>
  <c r="AA115" i="1"/>
  <c r="AB115" i="1" s="1"/>
  <c r="AC115" i="1" s="1"/>
  <c r="AO115" i="1" s="1"/>
  <c r="U115" i="1"/>
  <c r="E117" i="1"/>
  <c r="T116" i="1"/>
  <c r="S116" i="1"/>
  <c r="K116" i="1"/>
  <c r="Z116" i="1"/>
  <c r="X211" i="1"/>
  <c r="AL211" i="1" s="1"/>
  <c r="AL261" i="1" s="1"/>
  <c r="AT261" i="1" s="1"/>
  <c r="F265" i="1"/>
  <c r="C266" i="1"/>
  <c r="F266" i="1" s="1"/>
  <c r="AO164" i="1"/>
  <c r="AL163" i="1"/>
  <c r="AJ163" i="1" s="1"/>
  <c r="AP163" i="1"/>
  <c r="AE264" i="1"/>
  <c r="AE215" i="1"/>
  <c r="AF216" i="1"/>
  <c r="AF266" i="1" s="1"/>
  <c r="G216" i="1"/>
  <c r="AD216" i="1"/>
  <c r="AD266" i="1" s="1"/>
  <c r="F216" i="1"/>
  <c r="H165" i="1"/>
  <c r="F166" i="1"/>
  <c r="J215" i="1"/>
  <c r="N215" i="1"/>
  <c r="N265" i="1" s="1"/>
  <c r="O215" i="1"/>
  <c r="O265" i="1" s="1"/>
  <c r="D216" i="1"/>
  <c r="M214" i="1"/>
  <c r="I264" i="1"/>
  <c r="AK163" i="1"/>
  <c r="P263" i="1"/>
  <c r="AG263" i="1"/>
  <c r="AG214" i="1"/>
  <c r="X212" i="1"/>
  <c r="Z166" i="1"/>
  <c r="S166" i="1"/>
  <c r="K166" i="1"/>
  <c r="T166" i="1"/>
  <c r="AM260" i="1"/>
  <c r="AI210" i="1"/>
  <c r="AI260" i="1" s="1"/>
  <c r="AH210" i="1"/>
  <c r="AH260" i="1" s="1"/>
  <c r="AI163" i="1"/>
  <c r="P115" i="1"/>
  <c r="H116" i="1"/>
  <c r="F117" i="1"/>
  <c r="AA214" i="1"/>
  <c r="AA264" i="1" s="1"/>
  <c r="Z264" i="1"/>
  <c r="E216" i="1"/>
  <c r="K215" i="1"/>
  <c r="S215" i="1"/>
  <c r="S265" i="1" s="1"/>
  <c r="Z215" i="1"/>
  <c r="T215" i="1"/>
  <c r="T265" i="1" s="1"/>
  <c r="I116" i="1"/>
  <c r="G117" i="1"/>
  <c r="D117" i="1"/>
  <c r="J116" i="1"/>
  <c r="O116" i="1"/>
  <c r="N116" i="1"/>
  <c r="Y164" i="1"/>
  <c r="AM164" i="1" s="1"/>
  <c r="W164" i="1"/>
  <c r="V213" i="1"/>
  <c r="V263" i="1" s="1"/>
  <c r="M263" i="1"/>
  <c r="H215" i="1"/>
  <c r="AA165" i="1"/>
  <c r="AB165" i="1" s="1"/>
  <c r="AC165" i="1" s="1"/>
  <c r="AC261" i="1"/>
  <c r="AO211" i="1"/>
  <c r="AC212" i="1"/>
  <c r="AB213" i="1"/>
  <c r="AB263" i="1" s="1"/>
  <c r="AK114" i="1"/>
  <c r="L214" i="1"/>
  <c r="H264" i="1"/>
  <c r="L263" i="1"/>
  <c r="Q213" i="1"/>
  <c r="Q263" i="1" s="1"/>
  <c r="AH112" i="1"/>
  <c r="AJ112" i="1"/>
  <c r="G166" i="1"/>
  <c r="I166" i="1" s="1"/>
  <c r="I165" i="1"/>
  <c r="M165" i="1" s="1"/>
  <c r="V165" i="1" s="1"/>
  <c r="R114" i="1"/>
  <c r="X114" i="1" s="1"/>
  <c r="AM211" i="1"/>
  <c r="Y261" i="1"/>
  <c r="G265" i="1"/>
  <c r="I215" i="1"/>
  <c r="AK210" i="1"/>
  <c r="AK260" i="1" s="1"/>
  <c r="AJ210" i="1"/>
  <c r="AJ260" i="1" s="1"/>
  <c r="AO260" i="1"/>
  <c r="AS260" i="1" s="1"/>
  <c r="AU260" i="1" s="1"/>
  <c r="U263" i="1"/>
  <c r="K264" i="1"/>
  <c r="U214" i="1"/>
  <c r="J264" i="1"/>
  <c r="P214" i="1"/>
  <c r="W115" i="1" l="1"/>
  <c r="Y115" i="1" s="1"/>
  <c r="AM115" i="1" s="1"/>
  <c r="AI115" i="1" s="1"/>
  <c r="Y165" i="1"/>
  <c r="AM165" i="1" s="1"/>
  <c r="AI165" i="1" s="1"/>
  <c r="X261" i="1"/>
  <c r="R164" i="1"/>
  <c r="X164" i="1" s="1"/>
  <c r="AP164" i="1" s="1"/>
  <c r="H166" i="1"/>
  <c r="P165" i="1"/>
  <c r="AM212" i="1"/>
  <c r="AI212" i="1" s="1"/>
  <c r="AI262" i="1" s="1"/>
  <c r="AH163" i="1"/>
  <c r="M116" i="1"/>
  <c r="V116" i="1" s="1"/>
  <c r="AH162" i="1"/>
  <c r="AJ162" i="1"/>
  <c r="J166" i="1"/>
  <c r="N166" i="1"/>
  <c r="O166" i="1"/>
  <c r="L165" i="1"/>
  <c r="Q165" i="1" s="1"/>
  <c r="AB214" i="1"/>
  <c r="AB264" i="1" s="1"/>
  <c r="I117" i="1"/>
  <c r="Y213" i="1"/>
  <c r="Y263" i="1" s="1"/>
  <c r="M166" i="1"/>
  <c r="V166" i="1" s="1"/>
  <c r="P116" i="1"/>
  <c r="AP211" i="1"/>
  <c r="L116" i="1"/>
  <c r="Q116" i="1" s="1"/>
  <c r="U166" i="1"/>
  <c r="AA116" i="1"/>
  <c r="AB116" i="1" s="1"/>
  <c r="AC116" i="1" s="1"/>
  <c r="Z117" i="1"/>
  <c r="S117" i="1"/>
  <c r="K117" i="1"/>
  <c r="T117" i="1"/>
  <c r="U116" i="1"/>
  <c r="AO165" i="1"/>
  <c r="AP114" i="1"/>
  <c r="AL114" i="1"/>
  <c r="L215" i="1"/>
  <c r="H265" i="1"/>
  <c r="AI164" i="1"/>
  <c r="O117" i="1"/>
  <c r="J117" i="1"/>
  <c r="N117" i="1"/>
  <c r="AA215" i="1"/>
  <c r="AA265" i="1" s="1"/>
  <c r="Z265" i="1"/>
  <c r="AA166" i="1"/>
  <c r="AB166" i="1" s="1"/>
  <c r="AC166" i="1" s="1"/>
  <c r="AO166" i="1" s="1"/>
  <c r="O216" i="1"/>
  <c r="O266" i="1" s="1"/>
  <c r="J216" i="1"/>
  <c r="N216" i="1"/>
  <c r="N266" i="1" s="1"/>
  <c r="H216" i="1"/>
  <c r="AE265" i="1"/>
  <c r="AE216" i="1"/>
  <c r="AE266" i="1" s="1"/>
  <c r="AK164" i="1"/>
  <c r="P264" i="1"/>
  <c r="W213" i="1"/>
  <c r="W263" i="1" s="1"/>
  <c r="X262" i="1"/>
  <c r="AP212" i="1"/>
  <c r="AL212" i="1"/>
  <c r="AL262" i="1" s="1"/>
  <c r="AT262" i="1" s="1"/>
  <c r="W165" i="1"/>
  <c r="K265" i="1"/>
  <c r="U215" i="1"/>
  <c r="AG264" i="1"/>
  <c r="AG215" i="1"/>
  <c r="G266" i="1"/>
  <c r="I216" i="1"/>
  <c r="I265" i="1"/>
  <c r="M215" i="1"/>
  <c r="AK211" i="1"/>
  <c r="AK261" i="1" s="1"/>
  <c r="AO261" i="1"/>
  <c r="AS261" i="1" s="1"/>
  <c r="AU261" i="1" s="1"/>
  <c r="AJ211" i="1"/>
  <c r="AJ261" i="1" s="1"/>
  <c r="U264" i="1"/>
  <c r="AK115" i="1"/>
  <c r="AM261" i="1"/>
  <c r="AH211" i="1"/>
  <c r="AH261" i="1" s="1"/>
  <c r="AI211" i="1"/>
  <c r="AI261" i="1" s="1"/>
  <c r="Q214" i="1"/>
  <c r="Q264" i="1" s="1"/>
  <c r="L264" i="1"/>
  <c r="AC262" i="1"/>
  <c r="AC213" i="1"/>
  <c r="AO212" i="1"/>
  <c r="T216" i="1"/>
  <c r="T266" i="1" s="1"/>
  <c r="K216" i="1"/>
  <c r="S216" i="1"/>
  <c r="S266" i="1" s="1"/>
  <c r="Z216" i="1"/>
  <c r="H117" i="1"/>
  <c r="R115" i="1"/>
  <c r="X115" i="1" s="1"/>
  <c r="R213" i="1"/>
  <c r="R263" i="1" s="1"/>
  <c r="V214" i="1"/>
  <c r="V264" i="1" s="1"/>
  <c r="M264" i="1"/>
  <c r="P215" i="1"/>
  <c r="J265" i="1"/>
  <c r="Y166" i="1" l="1"/>
  <c r="AM166" i="1" s="1"/>
  <c r="AM262" i="1"/>
  <c r="R165" i="1"/>
  <c r="X165" i="1" s="1"/>
  <c r="AP165" i="1" s="1"/>
  <c r="L166" i="1"/>
  <c r="Q166" i="1" s="1"/>
  <c r="AL164" i="1"/>
  <c r="AH164" i="1" s="1"/>
  <c r="AM213" i="1"/>
  <c r="AM263" i="1" s="1"/>
  <c r="W116" i="1"/>
  <c r="Y116" i="1" s="1"/>
  <c r="AM116" i="1" s="1"/>
  <c r="U117" i="1"/>
  <c r="R116" i="1"/>
  <c r="X116" i="1" s="1"/>
  <c r="AP116" i="1" s="1"/>
  <c r="W214" i="1"/>
  <c r="W264" i="1" s="1"/>
  <c r="P166" i="1"/>
  <c r="P117" i="1"/>
  <c r="X213" i="1"/>
  <c r="AL213" i="1" s="1"/>
  <c r="AL263" i="1" s="1"/>
  <c r="AT263" i="1" s="1"/>
  <c r="AH212" i="1"/>
  <c r="AH262" i="1" s="1"/>
  <c r="AO116" i="1"/>
  <c r="AK116" i="1" s="1"/>
  <c r="W166" i="1"/>
  <c r="AA117" i="1"/>
  <c r="AB117" i="1" s="1"/>
  <c r="AC117" i="1" s="1"/>
  <c r="AO117" i="1" s="1"/>
  <c r="AK117" i="1" s="1"/>
  <c r="M117" i="1"/>
  <c r="V117" i="1" s="1"/>
  <c r="AB215" i="1"/>
  <c r="AB265" i="1" s="1"/>
  <c r="AK166" i="1"/>
  <c r="P265" i="1"/>
  <c r="H266" i="1"/>
  <c r="L216" i="1"/>
  <c r="AO262" i="1"/>
  <c r="AS262" i="1" s="1"/>
  <c r="AU262" i="1" s="1"/>
  <c r="AJ212" i="1"/>
  <c r="AJ262" i="1" s="1"/>
  <c r="AK212" i="1"/>
  <c r="AK262" i="1" s="1"/>
  <c r="P216" i="1"/>
  <c r="J266" i="1"/>
  <c r="AP115" i="1"/>
  <c r="AL115" i="1"/>
  <c r="AH114" i="1"/>
  <c r="AJ114" i="1"/>
  <c r="U216" i="1"/>
  <c r="K266" i="1"/>
  <c r="L117" i="1"/>
  <c r="Q117" i="1" s="1"/>
  <c r="R117" i="1" s="1"/>
  <c r="AC214" i="1"/>
  <c r="AC263" i="1"/>
  <c r="AO213" i="1"/>
  <c r="AA216" i="1"/>
  <c r="AA266" i="1" s="1"/>
  <c r="Z266" i="1"/>
  <c r="Y214" i="1"/>
  <c r="V215" i="1"/>
  <c r="V265" i="1" s="1"/>
  <c r="M265" i="1"/>
  <c r="AG265" i="1"/>
  <c r="AG216" i="1"/>
  <c r="AG266" i="1" s="1"/>
  <c r="U265" i="1"/>
  <c r="R214" i="1"/>
  <c r="R264" i="1" s="1"/>
  <c r="AK165" i="1"/>
  <c r="M216" i="1"/>
  <c r="I266" i="1"/>
  <c r="L265" i="1"/>
  <c r="Q215" i="1"/>
  <c r="Q265" i="1" s="1"/>
  <c r="AL165" i="1" l="1"/>
  <c r="AH165" i="1" s="1"/>
  <c r="W215" i="1"/>
  <c r="W265" i="1" s="1"/>
  <c r="AL116" i="1"/>
  <c r="AH116" i="1" s="1"/>
  <c r="AJ164" i="1"/>
  <c r="R166" i="1"/>
  <c r="X166" i="1" s="1"/>
  <c r="AP166" i="1" s="1"/>
  <c r="AI213" i="1"/>
  <c r="AI263" i="1" s="1"/>
  <c r="AP213" i="1"/>
  <c r="Y215" i="1"/>
  <c r="Y265" i="1" s="1"/>
  <c r="AB216" i="1"/>
  <c r="AB266" i="1" s="1"/>
  <c r="AI116" i="1"/>
  <c r="X263" i="1"/>
  <c r="R215" i="1"/>
  <c r="R265" i="1" s="1"/>
  <c r="W117" i="1"/>
  <c r="Y117" i="1" s="1"/>
  <c r="AM117" i="1" s="1"/>
  <c r="AI117" i="1" s="1"/>
  <c r="AM214" i="1"/>
  <c r="Y264" i="1"/>
  <c r="AK213" i="1"/>
  <c r="AK263" i="1" s="1"/>
  <c r="AO263" i="1"/>
  <c r="AS263" i="1" s="1"/>
  <c r="AU263" i="1" s="1"/>
  <c r="AJ213" i="1"/>
  <c r="AJ263" i="1" s="1"/>
  <c r="X117" i="1"/>
  <c r="AH213" i="1"/>
  <c r="AH263" i="1" s="1"/>
  <c r="P266" i="1"/>
  <c r="AC215" i="1"/>
  <c r="AO214" i="1"/>
  <c r="AC264" i="1"/>
  <c r="U266" i="1"/>
  <c r="AJ115" i="1"/>
  <c r="AH115" i="1"/>
  <c r="AI166" i="1"/>
  <c r="X214" i="1"/>
  <c r="M266" i="1"/>
  <c r="V216" i="1"/>
  <c r="V266" i="1" s="1"/>
  <c r="AJ165" i="1"/>
  <c r="L266" i="1"/>
  <c r="Q216" i="1"/>
  <c r="Q266" i="1" s="1"/>
  <c r="AJ116" i="1" l="1"/>
  <c r="AL166" i="1"/>
  <c r="AJ166" i="1" s="1"/>
  <c r="W216" i="1"/>
  <c r="W266" i="1" s="1"/>
  <c r="X215" i="1"/>
  <c r="AL215" i="1" s="1"/>
  <c r="AL265" i="1" s="1"/>
  <c r="AT265" i="1" s="1"/>
  <c r="R216" i="1"/>
  <c r="AP117" i="1"/>
  <c r="AL117" i="1"/>
  <c r="AK214" i="1"/>
  <c r="AK264" i="1" s="1"/>
  <c r="AO264" i="1"/>
  <c r="AS264" i="1" s="1"/>
  <c r="Y216" i="1"/>
  <c r="AM264" i="1"/>
  <c r="AI214" i="1"/>
  <c r="AI264" i="1" s="1"/>
  <c r="AP214" i="1"/>
  <c r="AL214" i="1"/>
  <c r="AL264" i="1" s="1"/>
  <c r="AT264" i="1" s="1"/>
  <c r="X264" i="1"/>
  <c r="X265" i="1"/>
  <c r="AC216" i="1"/>
  <c r="AC265" i="1"/>
  <c r="AO215" i="1"/>
  <c r="AM215" i="1"/>
  <c r="AH166" i="1" l="1"/>
  <c r="AP215" i="1"/>
  <c r="AK215" i="1"/>
  <c r="AK265" i="1" s="1"/>
  <c r="AJ215" i="1"/>
  <c r="AJ265" i="1" s="1"/>
  <c r="AO265" i="1"/>
  <c r="AS265" i="1" s="1"/>
  <c r="AU265" i="1" s="1"/>
  <c r="AM216" i="1"/>
  <c r="Y266" i="1"/>
  <c r="AJ117" i="1"/>
  <c r="AH117" i="1"/>
  <c r="AH215" i="1"/>
  <c r="AH265" i="1" s="1"/>
  <c r="AM265" i="1"/>
  <c r="AI215" i="1"/>
  <c r="AI265" i="1" s="1"/>
  <c r="AJ214" i="1"/>
  <c r="AJ264" i="1" s="1"/>
  <c r="AO216" i="1"/>
  <c r="AC266" i="1"/>
  <c r="AH214" i="1"/>
  <c r="AH264" i="1" s="1"/>
  <c r="AU264" i="1"/>
  <c r="R266" i="1"/>
  <c r="X216" i="1"/>
  <c r="AO266" i="1" l="1"/>
  <c r="AS266" i="1" s="1"/>
  <c r="AK216" i="1"/>
  <c r="AK266" i="1" s="1"/>
  <c r="AM266" i="1"/>
  <c r="AI216" i="1"/>
  <c r="AI266" i="1" s="1"/>
  <c r="X266" i="1"/>
  <c r="AL216" i="1"/>
  <c r="AL266" i="1" s="1"/>
  <c r="AT266" i="1" s="1"/>
  <c r="AP216" i="1"/>
  <c r="AU266" i="1" l="1"/>
  <c r="AH216" i="1"/>
  <c r="AH266" i="1" s="1"/>
  <c r="AJ216" i="1"/>
  <c r="AJ266" i="1" s="1"/>
</calcChain>
</file>

<file path=xl/sharedStrings.xml><?xml version="1.0" encoding="utf-8"?>
<sst xmlns="http://schemas.openxmlformats.org/spreadsheetml/2006/main" count="811" uniqueCount="299">
  <si>
    <t>Section A. Variables for an Individual Maple Tree</t>
  </si>
  <si>
    <t>Untapped</t>
  </si>
  <si>
    <t xml:space="preserve">Tapped </t>
  </si>
  <si>
    <t>Tapped</t>
  </si>
  <si>
    <t>Variable</t>
  </si>
  <si>
    <t>Value</t>
  </si>
  <si>
    <t>Units</t>
  </si>
  <si>
    <t>DBH Range</t>
  </si>
  <si>
    <t>Formula for Excel</t>
  </si>
  <si>
    <t>Sugar Maple</t>
  </si>
  <si>
    <t>Red Maple</t>
  </si>
  <si>
    <t>Initial tree diameter</t>
  </si>
  <si>
    <t>inches (dbh)</t>
  </si>
  <si>
    <t>less than 10" dbh</t>
  </si>
  <si>
    <t>Height of tree affected by tapping</t>
  </si>
  <si>
    <t>ft (height affected by tapping)</t>
  </si>
  <si>
    <t>between 10 and 12" dbh</t>
  </si>
  <si>
    <t>Initial merchantable height</t>
  </si>
  <si>
    <t>ft</t>
  </si>
  <si>
    <t>between 12 and 14" dbh</t>
  </si>
  <si>
    <t>Merchantable height growth (untapped)</t>
  </si>
  <si>
    <t>ft/year</t>
  </si>
  <si>
    <t>between 14 and 16" dbh</t>
  </si>
  <si>
    <t>greater than 16" dbh</t>
  </si>
  <si>
    <t>inches/year to dbh</t>
  </si>
  <si>
    <t>Species ("sugar" or "red")</t>
  </si>
  <si>
    <t>maple</t>
  </si>
  <si>
    <t>Present Value- Immediate Timber Harvest</t>
  </si>
  <si>
    <t>$/tree</t>
  </si>
  <si>
    <t>$/tap/year</t>
  </si>
  <si>
    <t>Present Value- Delayed Timber Harvest Untapped</t>
  </si>
  <si>
    <t>Diameter at which to add a second tap</t>
  </si>
  <si>
    <t>Present Value- Taxes with Ag Assessment</t>
  </si>
  <si>
    <t>between 14 and 15"</t>
  </si>
  <si>
    <t>Discount rate</t>
  </si>
  <si>
    <t>discount rate</t>
  </si>
  <si>
    <t>Present Value- Lease Payments</t>
  </si>
  <si>
    <t>between 15 and 16"</t>
  </si>
  <si>
    <t>Number of trees per acre</t>
  </si>
  <si>
    <t># trees/acre</t>
  </si>
  <si>
    <t>Present Value- Timber Harvest of Tapped Tree</t>
  </si>
  <si>
    <t>between 16 and 18"</t>
  </si>
  <si>
    <t>Regular taxes per acre</t>
  </si>
  <si>
    <t>$/acre/year</t>
  </si>
  <si>
    <t>Net Present Value (tapping/cutting vs. delayed harvest)</t>
  </si>
  <si>
    <t>between 18 and 20"</t>
  </si>
  <si>
    <t>Ag assessment taxes per acre</t>
  </si>
  <si>
    <t>Net Present Value (tapping/cutting vs. immediate harvest)</t>
  </si>
  <si>
    <t xml:space="preserve">greater than 20" </t>
  </si>
  <si>
    <t>Time horizon of investment period</t>
  </si>
  <si>
    <t>years</t>
  </si>
  <si>
    <t>Net Present Value (continuous tapping vs. delayed harvest)</t>
  </si>
  <si>
    <t>scale</t>
  </si>
  <si>
    <t>Net Present Value (continuous tapping vs. immediate harvest)</t>
  </si>
  <si>
    <t>grades</t>
  </si>
  <si>
    <t>$/MBF</t>
  </si>
  <si>
    <t>$/MBF/year</t>
  </si>
  <si>
    <t>Regular taxes per tree</t>
  </si>
  <si>
    <t>$/tree/year</t>
  </si>
  <si>
    <t>Ag assessment taxes per tree</t>
  </si>
  <si>
    <t>Merchantable height growth (tapped)</t>
  </si>
  <si>
    <t># of 16 ft logs affected by tapping</t>
  </si>
  <si>
    <t>(# of 16 ft logs)</t>
  </si>
  <si>
    <t>Doyle</t>
  </si>
  <si>
    <t>Bd ft volume</t>
  </si>
  <si>
    <t>Number of</t>
  </si>
  <si>
    <t xml:space="preserve">Number of </t>
  </si>
  <si>
    <t>Entire tree</t>
  </si>
  <si>
    <t>Butt log</t>
  </si>
  <si>
    <t>Above the butt log</t>
  </si>
  <si>
    <t>Untapped Stumpage Rate</t>
  </si>
  <si>
    <t>Tapped Stumpage Rate</t>
  </si>
  <si>
    <t xml:space="preserve">Untapped </t>
  </si>
  <si>
    <t>Tapping</t>
  </si>
  <si>
    <t>Regular</t>
  </si>
  <si>
    <t>Ag Assessment</t>
  </si>
  <si>
    <t>Difference in Revenue</t>
  </si>
  <si>
    <t>Percentage of Future Value</t>
  </si>
  <si>
    <t>Year</t>
  </si>
  <si>
    <t>Tree Diameter</t>
  </si>
  <si>
    <t xml:space="preserve">Tree Diameter </t>
  </si>
  <si>
    <t>16 ft logs</t>
  </si>
  <si>
    <t>Stumpage Payment</t>
  </si>
  <si>
    <t>Stumpage</t>
  </si>
  <si>
    <t>Lease Revenue</t>
  </si>
  <si>
    <t xml:space="preserve">Taxes per tree </t>
  </si>
  <si>
    <t>(tapping/cutting vs. delayed harvest)</t>
  </si>
  <si>
    <t xml:space="preserve"> (tapping/cutting vs. immediate harvest)</t>
  </si>
  <si>
    <t>(continuous tapping vs. delayed harvest)</t>
  </si>
  <si>
    <t xml:space="preserve"> (continuous tapping vs. immediate harvest)</t>
  </si>
  <si>
    <t>contained in the</t>
  </si>
  <si>
    <t>Butt Log</t>
  </si>
  <si>
    <t>Above the Butt Log</t>
  </si>
  <si>
    <t>present value</t>
  </si>
  <si>
    <t>NPV cumulative</t>
  </si>
  <si>
    <t>NPV</t>
  </si>
  <si>
    <t>Present Value  Stumpage Payments</t>
  </si>
  <si>
    <t>Untapped Stumpage PV</t>
  </si>
  <si>
    <t>Tapped Stumpage PV</t>
  </si>
  <si>
    <t>Lease Payments PV</t>
  </si>
  <si>
    <t>Regular Taxes PV</t>
  </si>
  <si>
    <t>Ag Assessment Taxes PV</t>
  </si>
  <si>
    <t>Scribner</t>
  </si>
  <si>
    <t>NPV1</t>
  </si>
  <si>
    <t xml:space="preserve">International 1/4" </t>
  </si>
  <si>
    <t>International</t>
  </si>
  <si>
    <t>Stumpage rate increase of upper logs</t>
  </si>
  <si>
    <t>Monetary value of increase in lease payment</t>
  </si>
  <si>
    <t>Annual</t>
  </si>
  <si>
    <t>Lease</t>
  </si>
  <si>
    <t>Payment</t>
  </si>
  <si>
    <t>Diameter of the tree at which to add the first tap</t>
  </si>
  <si>
    <t>Effect of tapping on diameter growth rate</t>
  </si>
  <si>
    <t>Effect of tapping on height growth rate</t>
  </si>
  <si>
    <t>Conditions that</t>
  </si>
  <si>
    <t>Conditions that favor</t>
  </si>
  <si>
    <t>Variables</t>
  </si>
  <si>
    <t>favor leasing taps</t>
  </si>
  <si>
    <t>favor immediate cutting</t>
  </si>
  <si>
    <t>Tree size and quality</t>
  </si>
  <si>
    <t>small initial tree diameter</t>
  </si>
  <si>
    <t>large merchantable trees</t>
  </si>
  <si>
    <t>medium size tree</t>
  </si>
  <si>
    <t xml:space="preserve">defects in main stem </t>
  </si>
  <si>
    <t>no defects in trunk</t>
  </si>
  <si>
    <t>many lower branches</t>
  </si>
  <si>
    <t>some dieback visible in top</t>
  </si>
  <si>
    <t>tall straight tree</t>
  </si>
  <si>
    <t>tree has been peviously tapped</t>
  </si>
  <si>
    <t>tree has never been tapped</t>
  </si>
  <si>
    <t>tree is a red maple</t>
  </si>
  <si>
    <t>tree is a sugar maple</t>
  </si>
  <si>
    <t>Forest attributes</t>
  </si>
  <si>
    <t>dense stand of maples, easily accessible</t>
  </si>
  <si>
    <t>maples are widely scattered</t>
  </si>
  <si>
    <t>large percentage of red (soft) maple in stand</t>
  </si>
  <si>
    <t>maples are not easily accessible</t>
  </si>
  <si>
    <t>Tapping method</t>
  </si>
  <si>
    <t>low height of tapping zone</t>
  </si>
  <si>
    <t>large height of tapholes/staining</t>
  </si>
  <si>
    <t>no metal objects used in collection</t>
  </si>
  <si>
    <t>metal objects used in collection</t>
  </si>
  <si>
    <t>log buyer is familiar with the people who tap</t>
  </si>
  <si>
    <t>no records or knowledge of practices</t>
  </si>
  <si>
    <t>slow growth rate</t>
  </si>
  <si>
    <t>fast growth rate</t>
  </si>
  <si>
    <t>if tapping has minimal impact on growth rate</t>
  </si>
  <si>
    <t>if tapping significantly reduces growth rate</t>
  </si>
  <si>
    <t xml:space="preserve">Doyle or Scribner </t>
  </si>
  <si>
    <t>International 1/4"</t>
  </si>
  <si>
    <t>low current prices for maple</t>
  </si>
  <si>
    <t>high current prices for maple</t>
  </si>
  <si>
    <t>relatively high prices paid for tapped logs</t>
  </si>
  <si>
    <t>uncertainty on future prices</t>
  </si>
  <si>
    <t>high future prices predicted</t>
  </si>
  <si>
    <t>low price differential for tapped logs</t>
  </si>
  <si>
    <t>high price differential for tapped logs</t>
  </si>
  <si>
    <t>high lease rates above $.50/tap</t>
  </si>
  <si>
    <t>low lease rate</t>
  </si>
  <si>
    <t xml:space="preserve">contract includes annual fee increases </t>
  </si>
  <si>
    <t>no annual increase in lease fees</t>
  </si>
  <si>
    <t>Taxes</t>
  </si>
  <si>
    <t>ability to gain ag assessment by leasing</t>
  </si>
  <si>
    <t>ability to qualify for 480-A</t>
  </si>
  <si>
    <t>high initial assessment</t>
  </si>
  <si>
    <t>low initial assessment</t>
  </si>
  <si>
    <t>high tax rate</t>
  </si>
  <si>
    <t>low tax rate</t>
  </si>
  <si>
    <t>"tree tax" used in assessment</t>
  </si>
  <si>
    <t>low discount rate</t>
  </si>
  <si>
    <t>high discount rate</t>
  </si>
  <si>
    <t>landowner interested in long-term profits</t>
  </si>
  <si>
    <t>landowner needs cash flow immediately</t>
  </si>
  <si>
    <t>long time horizon of investment period</t>
  </si>
  <si>
    <t>short time horizon of investment period</t>
  </si>
  <si>
    <t>Section C. Veneer Prices</t>
  </si>
  <si>
    <t xml:space="preserve">Section B. Sawtimber Delivered Log Prices </t>
  </si>
  <si>
    <t>Input the mill prices for a delivered sawlog based on the tree diameter below.</t>
  </si>
  <si>
    <t>Input the prices for a delivered veneer log based on the tree diameter below.</t>
  </si>
  <si>
    <t xml:space="preserve">Please input specific values for a single maple tree on your land as well as the economic and financial criteria. </t>
  </si>
  <si>
    <r>
      <t>NPV</t>
    </r>
    <r>
      <rPr>
        <vertAlign val="superscript"/>
        <sz val="10"/>
        <rFont val="Times New Roman"/>
        <family val="1"/>
      </rPr>
      <t>1</t>
    </r>
  </si>
  <si>
    <t>Please do not manually change the values in this section.</t>
  </si>
  <si>
    <t xml:space="preserve">Do not manually change this section; these values are based on the Time Horizon of Investment Period. </t>
  </si>
  <si>
    <t>Tapping/Cutting vs. Delayed Untapped Harvest</t>
  </si>
  <si>
    <t>Tapping/Cutting vs. Immediate Untapped Harvest</t>
  </si>
  <si>
    <t>Continuous Tapping vs. Delayed Untapped Harvest</t>
  </si>
  <si>
    <t>Continuous Tapping vs. Immediate Untapped Harvest</t>
  </si>
  <si>
    <t>Cost of timber harvesting</t>
  </si>
  <si>
    <t>Monetary value of increase in regular tax payment</t>
  </si>
  <si>
    <t>Monetary value of increase in ag assessment tax payment</t>
  </si>
  <si>
    <t>Current assessment of forestland per acre</t>
  </si>
  <si>
    <t>for Lease Revenue</t>
  </si>
  <si>
    <t>Tax Payment</t>
  </si>
  <si>
    <t>for Untapped</t>
  </si>
  <si>
    <t>Stumpage Revenue</t>
  </si>
  <si>
    <t>for Tapped</t>
  </si>
  <si>
    <t xml:space="preserve">Tapped  </t>
  </si>
  <si>
    <t>Untapped Stumpage</t>
  </si>
  <si>
    <t>Regular Property Taxes</t>
  </si>
  <si>
    <t>Tapped Stumpage</t>
  </si>
  <si>
    <t>Ag Assessment Taxes</t>
  </si>
  <si>
    <t>Lease Payment</t>
  </si>
  <si>
    <t>sum of :</t>
  </si>
  <si>
    <t>Untapped Stumpage in Year 1</t>
  </si>
  <si>
    <t>Regular Property Taxes in Year 1</t>
  </si>
  <si>
    <t xml:space="preserve">sum of: </t>
  </si>
  <si>
    <t>Untapped Stumpage + Regular Property Taxes</t>
  </si>
  <si>
    <t>Lease Revenue + Tapped Stumpage + Ag Assessment Taxes</t>
  </si>
  <si>
    <t>Present Value- Immediate Timber Harvest (Year 1) + Regular Taxes (Year 1)</t>
  </si>
  <si>
    <t>Present Value- Delayed Timber Harvest Untapped + Regular Taxes</t>
  </si>
  <si>
    <t>Present Value- Tapped Stumpage + Lease Payments + Ag Assessment Taxes</t>
  </si>
  <si>
    <t>Present Value- Lease Payments + Ag Assessment Taxes</t>
  </si>
  <si>
    <t>Present Value- Regular Property Taxes</t>
  </si>
  <si>
    <t>Agricultural assessment for forestland per acre</t>
  </si>
  <si>
    <t>Tree Size and Growth</t>
  </si>
  <si>
    <t>Lease Payments</t>
  </si>
  <si>
    <t>Property Taxes</t>
  </si>
  <si>
    <t>Financial Variables</t>
  </si>
  <si>
    <t>Stumpage Payments</t>
  </si>
  <si>
    <t>future</t>
  </si>
  <si>
    <t>Tapping Management</t>
  </si>
  <si>
    <t>Timber Management</t>
  </si>
  <si>
    <t>Net Present Value (Tapping - Timber)</t>
  </si>
  <si>
    <t>Section G. Present Value Analysis</t>
  </si>
  <si>
    <t>NPV Graphs</t>
  </si>
  <si>
    <t>Section D. Decision Variables</t>
  </si>
  <si>
    <t>Section E.  Intermediate Formulas</t>
  </si>
  <si>
    <t>acre/year</t>
  </si>
  <si>
    <t>Graphing Section</t>
  </si>
  <si>
    <t>scaled</t>
  </si>
  <si>
    <t>in/year</t>
  </si>
  <si>
    <t>reduction</t>
  </si>
  <si>
    <t>annual growth reduction</t>
  </si>
  <si>
    <t>Difference in taxes per tree</t>
  </si>
  <si>
    <t>leasing</t>
  </si>
  <si>
    <t>Section F. Stumpage Values for Butt Log</t>
  </si>
  <si>
    <t>Section F. Stumpage Values for Upper Logs</t>
  </si>
  <si>
    <t>Future Untapped Timber Harvest</t>
  </si>
  <si>
    <t>Leasing &amp; Future Timber Harvest</t>
  </si>
  <si>
    <t>Immediate Timber Harvest</t>
  </si>
  <si>
    <t>Continuous Leasing</t>
  </si>
  <si>
    <t>Percent reduction in annual height growth rate</t>
  </si>
  <si>
    <t>Diameter growth rate</t>
  </si>
  <si>
    <t>Percent reduction in annual diameter growth rate</t>
  </si>
  <si>
    <t>Log scale (Doyle, Scribner, International)</t>
  </si>
  <si>
    <t>Number of grades reduced by defects in butt log</t>
  </si>
  <si>
    <t>Number of grades reduced by defects in upper logs</t>
  </si>
  <si>
    <t xml:space="preserve">Real annual % increase/decrease in stumpage rate </t>
  </si>
  <si>
    <t>Value of tapped logs as a % of untapped logs</t>
  </si>
  <si>
    <t>Butt log market ("sawlog" or "cordwood" or "veneer")</t>
  </si>
  <si>
    <t>Stumpage rate for cordwood</t>
  </si>
  <si>
    <t>Payment method ("scaled" or "contract")</t>
  </si>
  <si>
    <t>Initial annual lease payment</t>
  </si>
  <si>
    <t>Real annual lease payment % increase/decrease</t>
  </si>
  <si>
    <t>Real annual tax payment % increase/decrease</t>
  </si>
  <si>
    <t>Uniform percentage</t>
  </si>
  <si>
    <t>Property tax payment rate</t>
  </si>
  <si>
    <t xml:space="preserve">Timber income tax rate </t>
  </si>
  <si>
    <t xml:space="preserve">Tapping lease income tax rate </t>
  </si>
  <si>
    <t>Tapped trees; continuous "leasing" or future "harvest"</t>
  </si>
  <si>
    <t>Untapped trees; "immediate" harvest or "future" harvest</t>
  </si>
  <si>
    <t>The following values are based on the inputs to the variables in Sections A–C and are used in the final analysis.</t>
  </si>
  <si>
    <t>Diameter growth rate tapped</t>
  </si>
  <si>
    <t>Untapped stumpage rate increase of butt log</t>
  </si>
  <si>
    <t>Tapped stumpage rate increase of butt log</t>
  </si>
  <si>
    <t>Initial untapped stumpage rate butt log</t>
  </si>
  <si>
    <t xml:space="preserve">Initial tapped stumpage rate butt log </t>
  </si>
  <si>
    <t xml:space="preserve">Initial stumpage rate upper logs </t>
  </si>
  <si>
    <t xml:space="preserve">Do not manually change this section; these values are based on the inputs in Sections A–C.   </t>
  </si>
  <si>
    <t>16 ft Logs</t>
  </si>
  <si>
    <t>Entire Tree</t>
  </si>
  <si>
    <t>Bd ft Volume</t>
  </si>
  <si>
    <t>Above the Butt log</t>
  </si>
  <si>
    <t>Present Value</t>
  </si>
  <si>
    <t>NPV Cumulative</t>
  </si>
  <si>
    <t xml:space="preserve">Taxes per Tree </t>
  </si>
  <si>
    <t>Sum of :</t>
  </si>
  <si>
    <t xml:space="preserve">Sum of: </t>
  </si>
  <si>
    <t xml:space="preserve">Percentage of delivered log price that the landowner receives </t>
  </si>
  <si>
    <t xml:space="preserve">Growth rate </t>
  </si>
  <si>
    <t>Log scale utilized</t>
  </si>
  <si>
    <t>Stumpage rates</t>
  </si>
  <si>
    <t>Lease rate</t>
  </si>
  <si>
    <t>Time horizon</t>
  </si>
  <si>
    <t>long-term timber production</t>
  </si>
  <si>
    <t xml:space="preserve">The present value analysis and line graph below will reflect these inputs. </t>
  </si>
  <si>
    <r>
      <t xml:space="preserve">From </t>
    </r>
    <r>
      <rPr>
        <i/>
        <sz val="11"/>
        <color rgb="FF000000"/>
        <rFont val="Calibri"/>
        <family val="2"/>
      </rPr>
      <t>The Sugarmaker's Companion</t>
    </r>
    <r>
      <rPr>
        <sz val="11"/>
        <color rgb="FF000000"/>
        <rFont val="Calibri"/>
        <family val="2"/>
      </rPr>
      <t xml:space="preserve"> by Michael Farrell • Copyright © by Michael Farrell. • All rights reserved.</t>
    </r>
  </si>
  <si>
    <t xml:space="preserve">These worksheets are brought to you by Michael Farrell and Chelsea Green Publishing as supplementary material for </t>
  </si>
  <si>
    <t xml:space="preserve">revenues by leasing the tree for syrup production or managing it for sawtimber production. </t>
  </si>
  <si>
    <t>This Excel file contains worksheets that allow you to input data for a maple tree to see if a landowner would earn greater</t>
  </si>
  <si>
    <t>sawlog</t>
  </si>
  <si>
    <t>Welcome to the Net Present Value Calculator for Determing the Economics of Tapping vs. Sawtimber Production</t>
  </si>
  <si>
    <r>
      <rPr>
        <i/>
        <sz val="18"/>
        <color rgb="FFFF0000"/>
        <rFont val="Times New Roman"/>
        <family val="1"/>
      </rPr>
      <t>The Sugarmakers Companion: An Integrated Guide to Producing Syrup from Maple, Birch, and Walnut Trees</t>
    </r>
    <r>
      <rPr>
        <sz val="18"/>
        <color rgb="FFFF0000"/>
        <rFont val="Times New Roman"/>
        <family val="1"/>
      </rPr>
      <t>.</t>
    </r>
  </si>
  <si>
    <t>On the data-input worksheet, simply enter the appropriate values for the cells highlighted in yellow</t>
  </si>
  <si>
    <t>and then examine the results on the worksheet titled "NPV graphs 4 scenarios."</t>
  </si>
  <si>
    <t xml:space="preserve">If you haven't already read this chapter, doing so will greatly improve your ability to utilize these spreadsheets. </t>
  </si>
  <si>
    <r>
      <t xml:space="preserve">This Excel file accompanies </t>
    </r>
    <r>
      <rPr>
        <b/>
        <sz val="16"/>
        <color rgb="FFFF0000"/>
        <rFont val="Times New Roman"/>
        <family val="1"/>
      </rPr>
      <t>chapter 15: "</t>
    </r>
    <r>
      <rPr>
        <sz val="16"/>
        <color rgb="FFFF0000"/>
        <rFont val="Times New Roman"/>
        <family val="1"/>
      </rPr>
      <t xml:space="preserve">Syrup or Sawtimber Production: Determing the Most Profitable Use for Maple, Birch, and Walnut Trees." </t>
    </r>
  </si>
  <si>
    <t>Fill in the values highlighted in the yellow cells for the tree in question, then refer to the worksheet titled 'NPV graphs 4 scenarios' for the results.</t>
  </si>
  <si>
    <t>sugar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</si>
</sst>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_);_(&quot;$&quot;* \(#,##0\);_(&quot;$&quot;* &quot;-&quot;??_);_(@_)"/>
    <numFmt numFmtId="169" formatCode="[$-409]d\-mmm\-yy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i/>
      <u/>
      <sz val="10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6"/>
      <color theme="1"/>
      <name val="Times New Roman"/>
      <family val="1"/>
    </font>
    <font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4"/>
      <name val="Times New Roman"/>
      <family val="1"/>
    </font>
    <font>
      <i/>
      <sz val="18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9" fillId="0" borderId="0" xfId="0" applyFont="1"/>
    <xf numFmtId="0" fontId="9" fillId="0" borderId="0" xfId="0" applyFont="1" applyFill="1" applyBorder="1"/>
    <xf numFmtId="44" fontId="3" fillId="0" borderId="0" xfId="1" applyFont="1"/>
    <xf numFmtId="9" fontId="3" fillId="0" borderId="0" xfId="0" applyNumberFormat="1" applyFont="1"/>
    <xf numFmtId="44" fontId="3" fillId="0" borderId="0" xfId="1" applyFont="1" applyFill="1"/>
    <xf numFmtId="44" fontId="3" fillId="0" borderId="0" xfId="0" applyNumberFormat="1" applyFont="1" applyFill="1"/>
    <xf numFmtId="2" fontId="3" fillId="0" borderId="0" xfId="0" applyNumberFormat="1" applyFont="1" applyFill="1"/>
    <xf numFmtId="0" fontId="9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3" fillId="2" borderId="0" xfId="0" applyFont="1" applyFill="1"/>
    <xf numFmtId="44" fontId="3" fillId="2" borderId="0" xfId="0" applyNumberFormat="1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168" fontId="3" fillId="0" borderId="0" xfId="1" applyNumberFormat="1" applyFont="1" applyFill="1"/>
    <xf numFmtId="164" fontId="3" fillId="0" borderId="0" xfId="0" applyNumberFormat="1" applyFont="1"/>
    <xf numFmtId="165" fontId="3" fillId="0" borderId="0" xfId="0" applyNumberFormat="1" applyFont="1" applyFill="1"/>
    <xf numFmtId="44" fontId="3" fillId="0" borderId="0" xfId="1" applyNumberFormat="1" applyFont="1" applyFill="1"/>
    <xf numFmtId="167" fontId="3" fillId="0" borderId="0" xfId="1" applyNumberFormat="1" applyFont="1"/>
    <xf numFmtId="44" fontId="3" fillId="0" borderId="0" xfId="0" applyNumberFormat="1" applyFont="1"/>
    <xf numFmtId="0" fontId="11" fillId="0" borderId="0" xfId="0" applyFont="1" applyFill="1"/>
    <xf numFmtId="0" fontId="11" fillId="0" borderId="0" xfId="0" applyFont="1"/>
    <xf numFmtId="165" fontId="3" fillId="0" borderId="0" xfId="0" applyNumberFormat="1" applyFont="1"/>
    <xf numFmtId="168" fontId="3" fillId="0" borderId="0" xfId="1" applyNumberFormat="1" applyFont="1"/>
    <xf numFmtId="0" fontId="3" fillId="6" borderId="0" xfId="0" applyFont="1" applyFill="1"/>
    <xf numFmtId="164" fontId="3" fillId="6" borderId="0" xfId="0" applyNumberFormat="1" applyFont="1" applyFill="1"/>
    <xf numFmtId="168" fontId="3" fillId="6" borderId="0" xfId="1" applyNumberFormat="1" applyFont="1" applyFill="1"/>
    <xf numFmtId="9" fontId="3" fillId="6" borderId="0" xfId="0" applyNumberFormat="1" applyFont="1" applyFill="1"/>
    <xf numFmtId="1" fontId="3" fillId="0" borderId="0" xfId="0" applyNumberFormat="1" applyFont="1"/>
    <xf numFmtId="164" fontId="3" fillId="0" borderId="0" xfId="0" applyNumberFormat="1" applyFont="1" applyFill="1"/>
    <xf numFmtId="1" fontId="3" fillId="0" borderId="0" xfId="0" applyNumberFormat="1" applyFont="1" applyFill="1"/>
    <xf numFmtId="164" fontId="3" fillId="3" borderId="0" xfId="0" applyNumberFormat="1" applyFont="1" applyFill="1"/>
    <xf numFmtId="164" fontId="3" fillId="4" borderId="0" xfId="0" applyNumberFormat="1" applyFont="1" applyFill="1"/>
    <xf numFmtId="0" fontId="3" fillId="7" borderId="0" xfId="0" applyFont="1" applyFill="1"/>
    <xf numFmtId="164" fontId="3" fillId="7" borderId="0" xfId="0" applyNumberFormat="1" applyFont="1" applyFill="1"/>
    <xf numFmtId="168" fontId="3" fillId="7" borderId="0" xfId="1" applyNumberFormat="1" applyFont="1" applyFill="1"/>
    <xf numFmtId="9" fontId="3" fillId="7" borderId="0" xfId="0" applyNumberFormat="1" applyFont="1" applyFill="1"/>
    <xf numFmtId="0" fontId="12" fillId="8" borderId="0" xfId="0" applyFont="1" applyFill="1"/>
    <xf numFmtId="164" fontId="12" fillId="8" borderId="0" xfId="0" applyNumberFormat="1" applyFont="1" applyFill="1"/>
    <xf numFmtId="168" fontId="12" fillId="8" borderId="0" xfId="1" applyNumberFormat="1" applyFont="1" applyFill="1"/>
    <xf numFmtId="9" fontId="12" fillId="8" borderId="0" xfId="0" applyNumberFormat="1" applyFont="1" applyFill="1"/>
    <xf numFmtId="0" fontId="3" fillId="9" borderId="0" xfId="0" applyFont="1" applyFill="1"/>
    <xf numFmtId="169" fontId="3" fillId="0" borderId="0" xfId="0" applyNumberFormat="1" applyFont="1"/>
    <xf numFmtId="166" fontId="3" fillId="0" borderId="0" xfId="1" applyNumberFormat="1" applyFont="1"/>
    <xf numFmtId="0" fontId="13" fillId="8" borderId="0" xfId="0" applyFont="1" applyFill="1"/>
    <xf numFmtId="0" fontId="14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2" borderId="0" xfId="0" applyFont="1" applyFill="1"/>
    <xf numFmtId="0" fontId="16" fillId="6" borderId="0" xfId="0" applyFont="1" applyFill="1"/>
    <xf numFmtId="0" fontId="16" fillId="7" borderId="0" xfId="0" applyFont="1" applyFill="1"/>
    <xf numFmtId="0" fontId="12" fillId="0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3" fillId="10" borderId="0" xfId="0" applyFont="1" applyFill="1" applyAlignment="1">
      <alignment horizontal="right"/>
    </xf>
    <xf numFmtId="9" fontId="3" fillId="10" borderId="0" xfId="2" applyFont="1" applyFill="1" applyAlignment="1">
      <alignment horizontal="right"/>
    </xf>
    <xf numFmtId="9" fontId="3" fillId="10" borderId="0" xfId="0" applyNumberFormat="1" applyFont="1" applyFill="1" applyAlignment="1">
      <alignment horizontal="right"/>
    </xf>
    <xf numFmtId="0" fontId="3" fillId="10" borderId="0" xfId="0" applyFont="1" applyFill="1"/>
    <xf numFmtId="0" fontId="3" fillId="10" borderId="0" xfId="0" applyNumberFormat="1" applyFont="1" applyFill="1" applyAlignment="1">
      <alignment horizontal="right"/>
    </xf>
    <xf numFmtId="10" fontId="3" fillId="10" borderId="0" xfId="2" applyNumberFormat="1" applyFont="1" applyFill="1" applyAlignment="1">
      <alignment horizontal="right"/>
    </xf>
    <xf numFmtId="44" fontId="3" fillId="10" borderId="0" xfId="1" applyFont="1" applyFill="1" applyAlignment="1">
      <alignment horizontal="right"/>
    </xf>
    <xf numFmtId="37" fontId="3" fillId="10" borderId="0" xfId="1" applyNumberFormat="1" applyFont="1" applyFill="1" applyAlignment="1">
      <alignment horizontal="right"/>
    </xf>
    <xf numFmtId="10" fontId="3" fillId="10" borderId="0" xfId="0" applyNumberFormat="1" applyFont="1" applyFill="1" applyAlignment="1">
      <alignment horizontal="right"/>
    </xf>
    <xf numFmtId="0" fontId="3" fillId="11" borderId="0" xfId="0" applyFont="1" applyFill="1"/>
    <xf numFmtId="0" fontId="3" fillId="10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23" fillId="10" borderId="0" xfId="0" applyFont="1" applyFill="1"/>
    <xf numFmtId="10" fontId="0" fillId="0" borderId="0" xfId="0" applyNumberFormat="1"/>
    <xf numFmtId="43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3.xml"/><Relationship Id="rId10" Type="http://schemas.openxmlformats.org/officeDocument/2006/relationships/usernames" Target="revisions/userNames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r>
              <a:rPr lang="en-US" sz="1400" baseline="0">
                <a:latin typeface="Times New Roman" pitchFamily="18" charset="0"/>
              </a:rPr>
              <a:t>Present Values  
Managing an Individual Maple Tree for Sawtimber or Leasing For Syrup Production</a:t>
            </a:r>
          </a:p>
        </c:rich>
      </c:tx>
      <c:layout>
        <c:manualLayout>
          <c:xMode val="edge"/>
          <c:yMode val="edge"/>
          <c:x val="0.14872364039955599"/>
          <c:y val="1.9575856443719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89012208656994E-2"/>
          <c:y val="0.15497553017944601"/>
          <c:w val="0.85721739576644596"/>
          <c:h val="0.62100560855015396"/>
        </c:manualLayout>
      </c:layout>
      <c:lineChart>
        <c:grouping val="standard"/>
        <c:varyColors val="0"/>
        <c:ser>
          <c:idx val="0"/>
          <c:order val="0"/>
          <c:tx>
            <c:strRef>
              <c:f>'data input worksheet'!$AL$226</c:f>
              <c:strCache>
                <c:ptCount val="1"/>
                <c:pt idx="0">
                  <c:v>Future Untapped Timber Harvest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'data input worksheet'!$C$227:$C$266</c:f>
              <c:numCache>
                <c:formatCode>[$-409]d\-mmm\-yyyy;@</c:formatCode>
                <c:ptCount val="40"/>
                <c:pt idx="0">
                  <c:v>42026.383684953704</c:v>
                </c:pt>
                <c:pt idx="1">
                  <c:v>42391.383684953704</c:v>
                </c:pt>
                <c:pt idx="2">
                  <c:v>42756.383684953704</c:v>
                </c:pt>
                <c:pt idx="3">
                  <c:v>43121.383684953704</c:v>
                </c:pt>
                <c:pt idx="4">
                  <c:v>43486.383684953704</c:v>
                </c:pt>
                <c:pt idx="5">
                  <c:v>43851.383684953704</c:v>
                </c:pt>
                <c:pt idx="6">
                  <c:v>44216.383684953704</c:v>
                </c:pt>
                <c:pt idx="7">
                  <c:v>44581.383684953704</c:v>
                </c:pt>
                <c:pt idx="8">
                  <c:v>44946.383684953704</c:v>
                </c:pt>
                <c:pt idx="9">
                  <c:v>45311.383684953704</c:v>
                </c:pt>
                <c:pt idx="10">
                  <c:v>45676.383684953704</c:v>
                </c:pt>
                <c:pt idx="11">
                  <c:v>46041.383684953704</c:v>
                </c:pt>
                <c:pt idx="12">
                  <c:v>46406.383684953704</c:v>
                </c:pt>
                <c:pt idx="13">
                  <c:v>46771.383684953704</c:v>
                </c:pt>
                <c:pt idx="14">
                  <c:v>47136.383684953704</c:v>
                </c:pt>
                <c:pt idx="15">
                  <c:v>47501.383684953704</c:v>
                </c:pt>
                <c:pt idx="16">
                  <c:v>47866.383684953704</c:v>
                </c:pt>
                <c:pt idx="17">
                  <c:v>48231.383684953704</c:v>
                </c:pt>
                <c:pt idx="18">
                  <c:v>48596.383684953704</c:v>
                </c:pt>
                <c:pt idx="19">
                  <c:v>48961.383684953704</c:v>
                </c:pt>
                <c:pt idx="20">
                  <c:v>49326.383684953704</c:v>
                </c:pt>
                <c:pt idx="21">
                  <c:v>49691.383684953704</c:v>
                </c:pt>
                <c:pt idx="22">
                  <c:v>50056.383684953704</c:v>
                </c:pt>
                <c:pt idx="23">
                  <c:v>50421.383684953704</c:v>
                </c:pt>
                <c:pt idx="24">
                  <c:v>50786.383684953704</c:v>
                </c:pt>
                <c:pt idx="25">
                  <c:v>51151.383684953704</c:v>
                </c:pt>
                <c:pt idx="26">
                  <c:v>51516.383684953704</c:v>
                </c:pt>
                <c:pt idx="27">
                  <c:v>51881.383684953704</c:v>
                </c:pt>
                <c:pt idx="28">
                  <c:v>52246.383684953704</c:v>
                </c:pt>
                <c:pt idx="29">
                  <c:v>52611.383684953704</c:v>
                </c:pt>
                <c:pt idx="30">
                  <c:v>52976.383684953704</c:v>
                </c:pt>
                <c:pt idx="31">
                  <c:v>53341.383684953704</c:v>
                </c:pt>
                <c:pt idx="32">
                  <c:v>53706.383684953704</c:v>
                </c:pt>
                <c:pt idx="33">
                  <c:v>54071.383684953704</c:v>
                </c:pt>
                <c:pt idx="34">
                  <c:v>54436.383684953704</c:v>
                </c:pt>
                <c:pt idx="35">
                  <c:v>54801.383684953704</c:v>
                </c:pt>
                <c:pt idx="36">
                  <c:v>55166.383684953704</c:v>
                </c:pt>
                <c:pt idx="37">
                  <c:v>55531.383684953704</c:v>
                </c:pt>
                <c:pt idx="38">
                  <c:v>55896.383684953704</c:v>
                </c:pt>
                <c:pt idx="39">
                  <c:v>56261.383684953704</c:v>
                </c:pt>
              </c:numCache>
            </c:numRef>
          </c:cat>
          <c:val>
            <c:numRef>
              <c:f>'data input worksheet'!$AL$227:$AL$266</c:f>
              <c:numCache>
                <c:formatCode>_("$"* #,##0.00_);_("$"* \(#,##0.00\);_("$"* "-"??_);_(@_)</c:formatCode>
                <c:ptCount val="40"/>
                <c:pt idx="0">
                  <c:v>15.917956824999999</c:v>
                </c:pt>
                <c:pt idx="1">
                  <c:v>16.295020119394145</c:v>
                </c:pt>
                <c:pt idx="2">
                  <c:v>16.65434727922878</c:v>
                </c:pt>
                <c:pt idx="3">
                  <c:v>16.991186721889875</c:v>
                </c:pt>
                <c:pt idx="4">
                  <c:v>17.307119273406478</c:v>
                </c:pt>
                <c:pt idx="5">
                  <c:v>17.602200601609141</c:v>
                </c:pt>
                <c:pt idx="6">
                  <c:v>17.876529415947019</c:v>
                </c:pt>
                <c:pt idx="7">
                  <c:v>18.130244768357436</c:v>
                </c:pt>
                <c:pt idx="8">
                  <c:v>18.363523413129133</c:v>
                </c:pt>
                <c:pt idx="9">
                  <c:v>18.576577230087395</c:v>
                </c:pt>
                <c:pt idx="10">
                  <c:v>18.769650714865584</c:v>
                </c:pt>
                <c:pt idx="11">
                  <c:v>18.943018539495174</c:v>
                </c:pt>
                <c:pt idx="12">
                  <c:v>19.096983186043602</c:v>
                </c:pt>
                <c:pt idx="13">
                  <c:v>19.231872655556455</c:v>
                </c:pt>
                <c:pt idx="14">
                  <c:v>19.34803825411803</c:v>
                </c:pt>
                <c:pt idx="15">
                  <c:v>19.44585245743064</c:v>
                </c:pt>
                <c:pt idx="16">
                  <c:v>19.525706854928707</c:v>
                </c:pt>
                <c:pt idx="17">
                  <c:v>19.588010174086776</c:v>
                </c:pt>
                <c:pt idx="18">
                  <c:v>19.633186385251214</c:v>
                </c:pt>
                <c:pt idx="19">
                  <c:v>19.661672887022398</c:v>
                </c:pt>
                <c:pt idx="20">
                  <c:v>19.673918771936012</c:v>
                </c:pt>
                <c:pt idx="21">
                  <c:v>19.670383171938632</c:v>
                </c:pt>
                <c:pt idx="22">
                  <c:v>19.651533682922501</c:v>
                </c:pt>
                <c:pt idx="23">
                  <c:v>23.445617167279813</c:v>
                </c:pt>
                <c:pt idx="24">
                  <c:v>23.322037049698984</c:v>
                </c:pt>
                <c:pt idx="25">
                  <c:v>23.18509859898607</c:v>
                </c:pt>
                <c:pt idx="26">
                  <c:v>23.035336694305471</c:v>
                </c:pt>
                <c:pt idx="27">
                  <c:v>22.873284884254314</c:v>
                </c:pt>
                <c:pt idx="28">
                  <c:v>22.699474357752766</c:v>
                </c:pt>
                <c:pt idx="29">
                  <c:v>22.514432984028169</c:v>
                </c:pt>
                <c:pt idx="30">
                  <c:v>22.318684419588401</c:v>
                </c:pt>
                <c:pt idx="31">
                  <c:v>22.112747280028717</c:v>
                </c:pt>
                <c:pt idx="32">
                  <c:v>21.897134374477432</c:v>
                </c:pt>
                <c:pt idx="33">
                  <c:v>21.672352000457273</c:v>
                </c:pt>
                <c:pt idx="34">
                  <c:v>21.438899296921416</c:v>
                </c:pt>
                <c:pt idx="35">
                  <c:v>21.197267653214517</c:v>
                </c:pt>
                <c:pt idx="36">
                  <c:v>20.947940171708694</c:v>
                </c:pt>
                <c:pt idx="37">
                  <c:v>20.691391181871719</c:v>
                </c:pt>
                <c:pt idx="38">
                  <c:v>20.428085803539648</c:v>
                </c:pt>
                <c:pt idx="39">
                  <c:v>20.158479557185977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input worksheet'!$AM$226</c:f>
              <c:strCache>
                <c:ptCount val="1"/>
                <c:pt idx="0">
                  <c:v>Leasing &amp; Future Timber Harvest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'data input worksheet'!$AM$227:$AM$266</c:f>
              <c:numCache>
                <c:formatCode>_("$"* #,##0.00_);_("$"* \(#,##0.00\);_("$"* "-"??_);_(@_)</c:formatCode>
                <c:ptCount val="40"/>
                <c:pt idx="0">
                  <c:v>13.261168085</c:v>
                </c:pt>
                <c:pt idx="1">
                  <c:v>14.060484808099723</c:v>
                </c:pt>
                <c:pt idx="2">
                  <c:v>14.830163538954773</c:v>
                </c:pt>
                <c:pt idx="3">
                  <c:v>15.565677120725532</c:v>
                </c:pt>
                <c:pt idx="4">
                  <c:v>16.269166671675382</c:v>
                </c:pt>
                <c:pt idx="5">
                  <c:v>16.941132944724988</c:v>
                </c:pt>
                <c:pt idx="6">
                  <c:v>17.582096338887123</c:v>
                </c:pt>
                <c:pt idx="7">
                  <c:v>18.192595455917807</c:v>
                </c:pt>
                <c:pt idx="8">
                  <c:v>18.773185654866055</c:v>
                </c:pt>
                <c:pt idx="9">
                  <c:v>19.324437611487017</c:v>
                </c:pt>
                <c:pt idx="10">
                  <c:v>19.846935888812261</c:v>
                </c:pt>
                <c:pt idx="11">
                  <c:v>20.341277524535229</c:v>
                </c:pt>
                <c:pt idx="12">
                  <c:v>20.808070640270049</c:v>
                </c:pt>
                <c:pt idx="13">
                  <c:v>21.24793307717626</c:v>
                </c:pt>
                <c:pt idx="14">
                  <c:v>21.661491061910425</c:v>
                </c:pt>
                <c:pt idx="15">
                  <c:v>22.049377906368225</c:v>
                </c:pt>
                <c:pt idx="16">
                  <c:v>22.412232744214297</c:v>
                </c:pt>
                <c:pt idx="17">
                  <c:v>22.750699306763448</c:v>
                </c:pt>
                <c:pt idx="18">
                  <c:v>23.065424740372851</c:v>
                </c:pt>
                <c:pt idx="19">
                  <c:v>23.357058467130091</c:v>
                </c:pt>
                <c:pt idx="20">
                  <c:v>23.626251090275741</c:v>
                </c:pt>
                <c:pt idx="21">
                  <c:v>23.873653345479177</c:v>
                </c:pt>
                <c:pt idx="22">
                  <c:v>24.099915098792547</c:v>
                </c:pt>
                <c:pt idx="23">
                  <c:v>24.30568439183849</c:v>
                </c:pt>
                <c:pt idx="24">
                  <c:v>24.491606534540121</c:v>
                </c:pt>
                <c:pt idx="25">
                  <c:v>24.658323245479039</c:v>
                </c:pt>
                <c:pt idx="26">
                  <c:v>27.994137594420049</c:v>
                </c:pt>
                <c:pt idx="27">
                  <c:v>28.060794723054126</c:v>
                </c:pt>
                <c:pt idx="28">
                  <c:v>28.110612561314586</c:v>
                </c:pt>
                <c:pt idx="29">
                  <c:v>28.14424912201612</c:v>
                </c:pt>
                <c:pt idx="30">
                  <c:v>28.16235268815106</c:v>
                </c:pt>
                <c:pt idx="31">
                  <c:v>28.165561314653338</c:v>
                </c:pt>
                <c:pt idx="32">
                  <c:v>28.154502373463696</c:v>
                </c:pt>
                <c:pt idx="33">
                  <c:v>28.12979214065156</c:v>
                </c:pt>
                <c:pt idx="34">
                  <c:v>28.09203542429006</c:v>
                </c:pt>
                <c:pt idx="35">
                  <c:v>28.041825231732851</c:v>
                </c:pt>
                <c:pt idx="36">
                  <c:v>27.979742474901453</c:v>
                </c:pt>
                <c:pt idx="37">
                  <c:v>27.906355712163492</c:v>
                </c:pt>
                <c:pt idx="38">
                  <c:v>27.822220925360178</c:v>
                </c:pt>
                <c:pt idx="39">
                  <c:v>27.727881330527239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input worksheet'!$AN$226</c:f>
              <c:strCache>
                <c:ptCount val="1"/>
                <c:pt idx="0">
                  <c:v>Immediate Timber Harvest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'data input worksheet'!$AN$227:$AN$266</c:f>
              <c:numCache>
                <c:formatCode>_("$"* #,##0.00_);_("$"* \(#,##0.00\);_("$"* "-"??_);_(@_)</c:formatCode>
                <c:ptCount val="40"/>
                <c:pt idx="0">
                  <c:v>15.917956824999999</c:v>
                </c:pt>
                <c:pt idx="1">
                  <c:v>15.917956824999999</c:v>
                </c:pt>
                <c:pt idx="2">
                  <c:v>15.917956824999999</c:v>
                </c:pt>
                <c:pt idx="3">
                  <c:v>15.917956824999999</c:v>
                </c:pt>
                <c:pt idx="4">
                  <c:v>15.917956824999999</c:v>
                </c:pt>
                <c:pt idx="5">
                  <c:v>15.917956824999999</c:v>
                </c:pt>
                <c:pt idx="6">
                  <c:v>15.917956824999999</c:v>
                </c:pt>
                <c:pt idx="7">
                  <c:v>15.917956824999999</c:v>
                </c:pt>
                <c:pt idx="8">
                  <c:v>15.917956824999999</c:v>
                </c:pt>
                <c:pt idx="9">
                  <c:v>15.917956824999999</c:v>
                </c:pt>
                <c:pt idx="10">
                  <c:v>15.917956824999999</c:v>
                </c:pt>
                <c:pt idx="11">
                  <c:v>15.917956824999999</c:v>
                </c:pt>
                <c:pt idx="12">
                  <c:v>15.917956824999999</c:v>
                </c:pt>
                <c:pt idx="13">
                  <c:v>15.917956824999999</c:v>
                </c:pt>
                <c:pt idx="14">
                  <c:v>15.917956824999999</c:v>
                </c:pt>
                <c:pt idx="15">
                  <c:v>15.917956824999999</c:v>
                </c:pt>
                <c:pt idx="16">
                  <c:v>15.917956824999999</c:v>
                </c:pt>
                <c:pt idx="17">
                  <c:v>15.917956824999999</c:v>
                </c:pt>
                <c:pt idx="18">
                  <c:v>15.917956824999999</c:v>
                </c:pt>
                <c:pt idx="19">
                  <c:v>15.917956824999999</c:v>
                </c:pt>
                <c:pt idx="20">
                  <c:v>15.917956824999999</c:v>
                </c:pt>
                <c:pt idx="21">
                  <c:v>15.917956824999999</c:v>
                </c:pt>
                <c:pt idx="22">
                  <c:v>15.917956824999999</c:v>
                </c:pt>
                <c:pt idx="23">
                  <c:v>15.917956824999999</c:v>
                </c:pt>
                <c:pt idx="24">
                  <c:v>15.917956824999999</c:v>
                </c:pt>
                <c:pt idx="25">
                  <c:v>15.917956824999999</c:v>
                </c:pt>
                <c:pt idx="26">
                  <c:v>15.917956824999999</c:v>
                </c:pt>
                <c:pt idx="27">
                  <c:v>15.917956824999999</c:v>
                </c:pt>
                <c:pt idx="28">
                  <c:v>15.917956824999999</c:v>
                </c:pt>
                <c:pt idx="29">
                  <c:v>15.917956824999999</c:v>
                </c:pt>
                <c:pt idx="30">
                  <c:v>15.917956824999999</c:v>
                </c:pt>
                <c:pt idx="31">
                  <c:v>15.917956824999999</c:v>
                </c:pt>
                <c:pt idx="32">
                  <c:v>15.917956824999999</c:v>
                </c:pt>
                <c:pt idx="33">
                  <c:v>15.917956824999999</c:v>
                </c:pt>
                <c:pt idx="34">
                  <c:v>15.917956824999999</c:v>
                </c:pt>
                <c:pt idx="35">
                  <c:v>15.917956824999999</c:v>
                </c:pt>
                <c:pt idx="36">
                  <c:v>15.917956824999999</c:v>
                </c:pt>
                <c:pt idx="37">
                  <c:v>15.917956824999999</c:v>
                </c:pt>
                <c:pt idx="38">
                  <c:v>15.917956824999999</c:v>
                </c:pt>
                <c:pt idx="39">
                  <c:v>15.917956824999999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input worksheet'!$AO$226</c:f>
              <c:strCache>
                <c:ptCount val="1"/>
                <c:pt idx="0">
                  <c:v>Continuous Leasing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'data input worksheet'!$AO$227:$AO$266</c:f>
              <c:numCache>
                <c:formatCode>_("$"* #,##0.00_);_("$"* \(#,##0.00\);_("$"* "-"??_);_(@_)</c:formatCode>
                <c:ptCount val="40"/>
                <c:pt idx="0">
                  <c:v>0.3962</c:v>
                </c:pt>
                <c:pt idx="1">
                  <c:v>0.77660769230769222</c:v>
                </c:pt>
                <c:pt idx="2">
                  <c:v>1.1418517751479289</c:v>
                </c:pt>
                <c:pt idx="3">
                  <c:v>1.4925359467455619</c:v>
                </c:pt>
                <c:pt idx="4">
                  <c:v>1.8292398983754066</c:v>
                </c:pt>
                <c:pt idx="5">
                  <c:v>2.1525202680059947</c:v>
                </c:pt>
                <c:pt idx="6">
                  <c:v>2.4629115560993551</c:v>
                </c:pt>
                <c:pt idx="7">
                  <c:v>2.7609270050671815</c:v>
                </c:pt>
                <c:pt idx="8">
                  <c:v>3.0470594438243186</c:v>
                </c:pt>
                <c:pt idx="9">
                  <c:v>3.3217820988234101</c:v>
                </c:pt>
                <c:pt idx="10">
                  <c:v>3.5855493728997549</c:v>
                </c:pt>
                <c:pt idx="11">
                  <c:v>3.8387975932027372</c:v>
                </c:pt>
                <c:pt idx="12">
                  <c:v>4.0819457294396617</c:v>
                </c:pt>
                <c:pt idx="13">
                  <c:v>4.3153960836092446</c:v>
                </c:pt>
                <c:pt idx="14">
                  <c:v>4.5395349523553685</c:v>
                </c:pt>
                <c:pt idx="15">
                  <c:v>4.7547332630269254</c:v>
                </c:pt>
                <c:pt idx="16">
                  <c:v>4.9613471844865353</c:v>
                </c:pt>
                <c:pt idx="17">
                  <c:v>5.1597187136696263</c:v>
                </c:pt>
                <c:pt idx="18">
                  <c:v>5.3501762388556653</c:v>
                </c:pt>
                <c:pt idx="19">
                  <c:v>5.5330350805752193</c:v>
                </c:pt>
                <c:pt idx="20">
                  <c:v>5.7085980110399319</c:v>
                </c:pt>
                <c:pt idx="21">
                  <c:v>5.8771557529473357</c:v>
                </c:pt>
                <c:pt idx="22">
                  <c:v>6.038987458478668</c:v>
                </c:pt>
                <c:pt idx="23">
                  <c:v>6.1943611692754201</c:v>
                </c:pt>
                <c:pt idx="24">
                  <c:v>6.3435342581492282</c:v>
                </c:pt>
                <c:pt idx="25">
                  <c:v>6.4867538532497919</c:v>
                </c:pt>
                <c:pt idx="26">
                  <c:v>6.6242572453867767</c:v>
                </c:pt>
                <c:pt idx="27">
                  <c:v>6.7562722791740981</c:v>
                </c:pt>
                <c:pt idx="28">
                  <c:v>6.8830177286384497</c:v>
                </c:pt>
                <c:pt idx="29">
                  <c:v>7.0047036579085411</c:v>
                </c:pt>
                <c:pt idx="30">
                  <c:v>7.1215317675770287</c:v>
                </c:pt>
                <c:pt idx="31">
                  <c:v>7.2336957273036981</c:v>
                </c:pt>
                <c:pt idx="32">
                  <c:v>7.3413814952058631</c:v>
                </c:pt>
                <c:pt idx="33">
                  <c:v>7.4447676245603729</c:v>
                </c:pt>
                <c:pt idx="34">
                  <c:v>7.5440255583207385</c:v>
                </c:pt>
                <c:pt idx="35">
                  <c:v>7.6393199119330282</c:v>
                </c:pt>
                <c:pt idx="36">
                  <c:v>7.7308087449149037</c:v>
                </c:pt>
                <c:pt idx="37">
                  <c:v>7.8186438216438345</c:v>
                </c:pt>
                <c:pt idx="38">
                  <c:v>7.902970861782797</c:v>
                </c:pt>
                <c:pt idx="39">
                  <c:v>7.9839297807547913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75328"/>
        <c:axId val="113076864"/>
      </c:lineChart>
      <c:dateAx>
        <c:axId val="113075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76864"/>
        <c:crosses val="autoZero"/>
        <c:auto val="1"/>
        <c:lblOffset val="100"/>
        <c:baseTimeUnit val="years"/>
        <c:majorUnit val="2"/>
        <c:majorTimeUnit val="years"/>
        <c:minorUnit val="1"/>
        <c:minorTimeUnit val="years"/>
      </c:dateAx>
      <c:valAx>
        <c:axId val="113076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Present Value ($/tree)</a:t>
                </a:r>
              </a:p>
            </c:rich>
          </c:tx>
          <c:layout>
            <c:manualLayout>
              <c:xMode val="edge"/>
              <c:yMode val="edge"/>
              <c:x val="1.22086570477247E-2"/>
              <c:y val="0.40456769983686802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7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648168701442801E-2"/>
          <c:y val="0.84778828885961999"/>
          <c:w val="0.96548963632893203"/>
          <c:h val="0.152211711140380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Times New Roman" pitchFamily="18" charset="0"/>
              <a:ea typeface="Arial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Present Values  
Managing an Individual Maple Tree for Sawtimber or Leasing For Syrup Production</a:t>
            </a:r>
          </a:p>
        </c:rich>
      </c:tx>
      <c:layout>
        <c:manualLayout>
          <c:xMode val="edge"/>
          <c:yMode val="edge"/>
          <c:x val="0.14872364039955599"/>
          <c:y val="1.9575856443719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89012208656994E-2"/>
          <c:y val="0.15497553017944601"/>
          <c:w val="0.88790233074361802"/>
          <c:h val="0.72920065252855004"/>
        </c:manualLayout>
      </c:layout>
      <c:lineChart>
        <c:grouping val="standard"/>
        <c:varyColors val="0"/>
        <c:ser>
          <c:idx val="0"/>
          <c:order val="0"/>
          <c:tx>
            <c:v>Tapping Lease Revenue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'data input worksheet'!$C$227:$C$266</c:f>
              <c:numCache>
                <c:formatCode>[$-409]d\-mmm\-yyyy;@</c:formatCode>
                <c:ptCount val="40"/>
                <c:pt idx="0">
                  <c:v>42026.383684953704</c:v>
                </c:pt>
                <c:pt idx="1">
                  <c:v>42391.383684953704</c:v>
                </c:pt>
                <c:pt idx="2">
                  <c:v>42756.383684953704</c:v>
                </c:pt>
                <c:pt idx="3">
                  <c:v>43121.383684953704</c:v>
                </c:pt>
                <c:pt idx="4">
                  <c:v>43486.383684953704</c:v>
                </c:pt>
                <c:pt idx="5">
                  <c:v>43851.383684953704</c:v>
                </c:pt>
                <c:pt idx="6">
                  <c:v>44216.383684953704</c:v>
                </c:pt>
                <c:pt idx="7">
                  <c:v>44581.383684953704</c:v>
                </c:pt>
                <c:pt idx="8">
                  <c:v>44946.383684953704</c:v>
                </c:pt>
                <c:pt idx="9">
                  <c:v>45311.383684953704</c:v>
                </c:pt>
                <c:pt idx="10">
                  <c:v>45676.383684953704</c:v>
                </c:pt>
                <c:pt idx="11">
                  <c:v>46041.383684953704</c:v>
                </c:pt>
                <c:pt idx="12">
                  <c:v>46406.383684953704</c:v>
                </c:pt>
                <c:pt idx="13">
                  <c:v>46771.383684953704</c:v>
                </c:pt>
                <c:pt idx="14">
                  <c:v>47136.383684953704</c:v>
                </c:pt>
                <c:pt idx="15">
                  <c:v>47501.383684953704</c:v>
                </c:pt>
                <c:pt idx="16">
                  <c:v>47866.383684953704</c:v>
                </c:pt>
                <c:pt idx="17">
                  <c:v>48231.383684953704</c:v>
                </c:pt>
                <c:pt idx="18">
                  <c:v>48596.383684953704</c:v>
                </c:pt>
                <c:pt idx="19">
                  <c:v>48961.383684953704</c:v>
                </c:pt>
                <c:pt idx="20">
                  <c:v>49326.383684953704</c:v>
                </c:pt>
                <c:pt idx="21">
                  <c:v>49691.383684953704</c:v>
                </c:pt>
                <c:pt idx="22">
                  <c:v>50056.383684953704</c:v>
                </c:pt>
                <c:pt idx="23">
                  <c:v>50421.383684953704</c:v>
                </c:pt>
                <c:pt idx="24">
                  <c:v>50786.383684953704</c:v>
                </c:pt>
                <c:pt idx="25">
                  <c:v>51151.383684953704</c:v>
                </c:pt>
                <c:pt idx="26">
                  <c:v>51516.383684953704</c:v>
                </c:pt>
                <c:pt idx="27">
                  <c:v>51881.383684953704</c:v>
                </c:pt>
                <c:pt idx="28">
                  <c:v>52246.383684953704</c:v>
                </c:pt>
                <c:pt idx="29">
                  <c:v>52611.383684953704</c:v>
                </c:pt>
                <c:pt idx="30">
                  <c:v>52976.383684953704</c:v>
                </c:pt>
                <c:pt idx="31">
                  <c:v>53341.383684953704</c:v>
                </c:pt>
                <c:pt idx="32">
                  <c:v>53706.383684953704</c:v>
                </c:pt>
                <c:pt idx="33">
                  <c:v>54071.383684953704</c:v>
                </c:pt>
                <c:pt idx="34">
                  <c:v>54436.383684953704</c:v>
                </c:pt>
                <c:pt idx="35">
                  <c:v>54801.383684953704</c:v>
                </c:pt>
                <c:pt idx="36">
                  <c:v>55166.383684953704</c:v>
                </c:pt>
                <c:pt idx="37">
                  <c:v>55531.383684953704</c:v>
                </c:pt>
                <c:pt idx="38">
                  <c:v>55896.383684953704</c:v>
                </c:pt>
                <c:pt idx="39">
                  <c:v>56261.383684953704</c:v>
                </c:pt>
              </c:numCache>
            </c:numRef>
          </c:cat>
          <c:val>
            <c:numRef>
              <c:f>'data input worksheet'!$AC$227:$AC$266</c:f>
              <c:numCache>
                <c:formatCode>_("$"* #,##0.00_);_("$"* \(#,##0.00\);_("$"* "-"??_);_(@_)</c:formatCode>
                <c:ptCount val="40"/>
                <c:pt idx="0">
                  <c:v>0.42499999999999999</c:v>
                </c:pt>
                <c:pt idx="1">
                  <c:v>0.83365384615384608</c:v>
                </c:pt>
                <c:pt idx="2">
                  <c:v>1.2265902366863903</c:v>
                </c:pt>
                <c:pt idx="3">
                  <c:v>1.604413689121529</c:v>
                </c:pt>
                <c:pt idx="4">
                  <c:v>1.9677054703091623</c:v>
                </c:pt>
                <c:pt idx="5">
                  <c:v>2.3170244906818867</c:v>
                </c:pt>
                <c:pt idx="6">
                  <c:v>2.6529081641171985</c:v>
                </c:pt>
                <c:pt idx="7">
                  <c:v>2.9758732347280752</c:v>
                </c:pt>
                <c:pt idx="8">
                  <c:v>3.2864165718539184</c:v>
                </c:pt>
                <c:pt idx="9">
                  <c:v>3.5850159344749213</c:v>
                </c:pt>
                <c:pt idx="10">
                  <c:v>3.8721307062258856</c:v>
                </c:pt>
                <c:pt idx="11">
                  <c:v>4.1482026021402749</c:v>
                </c:pt>
                <c:pt idx="12">
                  <c:v>4.413656348211803</c:v>
                </c:pt>
                <c:pt idx="13">
                  <c:v>4.6689003348190408</c:v>
                </c:pt>
                <c:pt idx="14">
                  <c:v>4.914327245018308</c:v>
                </c:pt>
                <c:pt idx="15">
                  <c:v>5.1503146586714497</c:v>
                </c:pt>
                <c:pt idx="16">
                  <c:v>5.3772256333379325</c:v>
                </c:pt>
                <c:pt idx="17">
                  <c:v>5.5954092628249352</c:v>
                </c:pt>
                <c:pt idx="18">
                  <c:v>5.8052012142547449</c:v>
                </c:pt>
                <c:pt idx="19">
                  <c:v>6.0069242444757158</c:v>
                </c:pt>
                <c:pt idx="20">
                  <c:v>6.2008886966112646</c:v>
                </c:pt>
                <c:pt idx="21">
                  <c:v>6.3873929775108307</c:v>
                </c:pt>
                <c:pt idx="22">
                  <c:v>6.5667240168373366</c:v>
                </c:pt>
                <c:pt idx="23">
                  <c:v>6.739157708497439</c:v>
                </c:pt>
                <c:pt idx="24">
                  <c:v>6.9049593350936913</c:v>
                </c:pt>
                <c:pt idx="25">
                  <c:v>7.0643839760516256</c:v>
                </c:pt>
                <c:pt idx="26">
                  <c:v>7.2176769000496392</c:v>
                </c:pt>
                <c:pt idx="27">
                  <c:v>7.3650739423554219</c:v>
                </c:pt>
                <c:pt idx="28">
                  <c:v>7.5068018676494441</c:v>
                </c:pt>
                <c:pt idx="29">
                  <c:v>7.6430787188936957</c:v>
                </c:pt>
                <c:pt idx="30">
                  <c:v>7.7741141527823991</c:v>
                </c:pt>
                <c:pt idx="31">
                  <c:v>7.9001097622907679</c:v>
                </c:pt>
                <c:pt idx="32">
                  <c:v>8.0212593868180448</c:v>
                </c:pt>
                <c:pt idx="33">
                  <c:v>8.1377494104019661</c:v>
                </c:pt>
                <c:pt idx="34">
                  <c:v>8.249759048463428</c:v>
                </c:pt>
                <c:pt idx="35">
                  <c:v>8.3574606235225257</c:v>
                </c:pt>
                <c:pt idx="36">
                  <c:v>8.4610198303101196</c:v>
                </c:pt>
                <c:pt idx="37">
                  <c:v>8.5605959906828062</c:v>
                </c:pt>
                <c:pt idx="38">
                  <c:v>8.6563422987334668</c:v>
                </c:pt>
                <c:pt idx="39">
                  <c:v>8.7484060564744865</c:v>
                </c:pt>
              </c:numCache>
            </c:numRef>
          </c:val>
          <c:smooth val="0"/>
        </c:ser>
        <c:ser>
          <c:idx val="1"/>
          <c:order val="1"/>
          <c:tx>
            <c:v>Ag Assessment Taxes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'data input worksheet'!$C$227:$C$266</c:f>
              <c:numCache>
                <c:formatCode>[$-409]d\-mmm\-yyyy;@</c:formatCode>
                <c:ptCount val="40"/>
                <c:pt idx="0">
                  <c:v>42026.383684953704</c:v>
                </c:pt>
                <c:pt idx="1">
                  <c:v>42391.383684953704</c:v>
                </c:pt>
                <c:pt idx="2">
                  <c:v>42756.383684953704</c:v>
                </c:pt>
                <c:pt idx="3">
                  <c:v>43121.383684953704</c:v>
                </c:pt>
                <c:pt idx="4">
                  <c:v>43486.383684953704</c:v>
                </c:pt>
                <c:pt idx="5">
                  <c:v>43851.383684953704</c:v>
                </c:pt>
                <c:pt idx="6">
                  <c:v>44216.383684953704</c:v>
                </c:pt>
                <c:pt idx="7">
                  <c:v>44581.383684953704</c:v>
                </c:pt>
                <c:pt idx="8">
                  <c:v>44946.383684953704</c:v>
                </c:pt>
                <c:pt idx="9">
                  <c:v>45311.383684953704</c:v>
                </c:pt>
                <c:pt idx="10">
                  <c:v>45676.383684953704</c:v>
                </c:pt>
                <c:pt idx="11">
                  <c:v>46041.383684953704</c:v>
                </c:pt>
                <c:pt idx="12">
                  <c:v>46406.383684953704</c:v>
                </c:pt>
                <c:pt idx="13">
                  <c:v>46771.383684953704</c:v>
                </c:pt>
                <c:pt idx="14">
                  <c:v>47136.383684953704</c:v>
                </c:pt>
                <c:pt idx="15">
                  <c:v>47501.383684953704</c:v>
                </c:pt>
                <c:pt idx="16">
                  <c:v>47866.383684953704</c:v>
                </c:pt>
                <c:pt idx="17">
                  <c:v>48231.383684953704</c:v>
                </c:pt>
                <c:pt idx="18">
                  <c:v>48596.383684953704</c:v>
                </c:pt>
                <c:pt idx="19">
                  <c:v>48961.383684953704</c:v>
                </c:pt>
                <c:pt idx="20">
                  <c:v>49326.383684953704</c:v>
                </c:pt>
                <c:pt idx="21">
                  <c:v>49691.383684953704</c:v>
                </c:pt>
                <c:pt idx="22">
                  <c:v>50056.383684953704</c:v>
                </c:pt>
                <c:pt idx="23">
                  <c:v>50421.383684953704</c:v>
                </c:pt>
                <c:pt idx="24">
                  <c:v>50786.383684953704</c:v>
                </c:pt>
                <c:pt idx="25">
                  <c:v>51151.383684953704</c:v>
                </c:pt>
                <c:pt idx="26">
                  <c:v>51516.383684953704</c:v>
                </c:pt>
                <c:pt idx="27">
                  <c:v>51881.383684953704</c:v>
                </c:pt>
                <c:pt idx="28">
                  <c:v>52246.383684953704</c:v>
                </c:pt>
                <c:pt idx="29">
                  <c:v>52611.383684953704</c:v>
                </c:pt>
                <c:pt idx="30">
                  <c:v>52976.383684953704</c:v>
                </c:pt>
                <c:pt idx="31">
                  <c:v>53341.383684953704</c:v>
                </c:pt>
                <c:pt idx="32">
                  <c:v>53706.383684953704</c:v>
                </c:pt>
                <c:pt idx="33">
                  <c:v>54071.383684953704</c:v>
                </c:pt>
                <c:pt idx="34">
                  <c:v>54436.383684953704</c:v>
                </c:pt>
                <c:pt idx="35">
                  <c:v>54801.383684953704</c:v>
                </c:pt>
                <c:pt idx="36">
                  <c:v>55166.383684953704</c:v>
                </c:pt>
                <c:pt idx="37">
                  <c:v>55531.383684953704</c:v>
                </c:pt>
                <c:pt idx="38">
                  <c:v>55896.383684953704</c:v>
                </c:pt>
                <c:pt idx="39">
                  <c:v>56261.383684953704</c:v>
                </c:pt>
              </c:numCache>
            </c:numRef>
          </c:cat>
          <c:val>
            <c:numRef>
              <c:f>'data input worksheet'!$AG$227:$AG$266</c:f>
              <c:numCache>
                <c:formatCode>_("$"* #,##0.00_);_("$"* \(#,##0.00\);_("$"* "-"??_);_(@_)</c:formatCode>
                <c:ptCount val="40"/>
                <c:pt idx="0">
                  <c:v>-2.8799999999999996E-2</c:v>
                </c:pt>
                <c:pt idx="1">
                  <c:v>-5.7046153846153837E-2</c:v>
                </c:pt>
                <c:pt idx="2">
                  <c:v>-8.4738461538461526E-2</c:v>
                </c:pt>
                <c:pt idx="3">
                  <c:v>-0.1118777423759672</c:v>
                </c:pt>
                <c:pt idx="4">
                  <c:v>-0.1384655719337558</c:v>
                </c:pt>
                <c:pt idx="5">
                  <c:v>-0.16450422267589204</c:v>
                </c:pt>
                <c:pt idx="6">
                  <c:v>-0.18999660801784363</c:v>
                </c:pt>
                <c:pt idx="7">
                  <c:v>-0.21494622966089377</c:v>
                </c:pt>
                <c:pt idx="8">
                  <c:v>-0.23935712802960005</c:v>
                </c:pt>
                <c:pt idx="9">
                  <c:v>-0.26323383565151104</c:v>
                </c:pt>
                <c:pt idx="10">
                  <c:v>-0.28658133332613062</c:v>
                </c:pt>
                <c:pt idx="11">
                  <c:v>-0.30940500893753758</c:v>
                </c:pt>
                <c:pt idx="12">
                  <c:v>-0.33171061877214086</c:v>
                </c:pt>
                <c:pt idx="13">
                  <c:v>-0.35350425120979606</c:v>
                </c:pt>
                <c:pt idx="14">
                  <c:v>-0.37479229266293912</c:v>
                </c:pt>
                <c:pt idx="15">
                  <c:v>-0.3955813956445241</c:v>
                </c:pt>
                <c:pt idx="16">
                  <c:v>-0.41587844885139702</c:v>
                </c:pt>
                <c:pt idx="17">
                  <c:v>-0.43569054915530853</c:v>
                </c:pt>
                <c:pt idx="18">
                  <c:v>-0.45502497539907982</c:v>
                </c:pt>
                <c:pt idx="19">
                  <c:v>-0.47388916390049696</c:v>
                </c:pt>
                <c:pt idx="20">
                  <c:v>-0.49229068557133304</c:v>
                </c:pt>
                <c:pt idx="21">
                  <c:v>-0.51023722456349463</c:v>
                </c:pt>
                <c:pt idx="22">
                  <c:v>-0.5277365583586684</c:v>
                </c:pt>
                <c:pt idx="23">
                  <c:v>-0.54479653922201887</c:v>
                </c:pt>
                <c:pt idx="24">
                  <c:v>-0.56142507694446275</c:v>
                </c:pt>
                <c:pt idx="25">
                  <c:v>-0.57763012280183401</c:v>
                </c:pt>
                <c:pt idx="26">
                  <c:v>-0.59341965466286239</c:v>
                </c:pt>
                <c:pt idx="27">
                  <c:v>-0.60880166318132378</c:v>
                </c:pt>
                <c:pt idx="28">
                  <c:v>-0.62378413901099394</c:v>
                </c:pt>
                <c:pt idx="29">
                  <c:v>-0.63837506098515495</c:v>
                </c:pt>
                <c:pt idx="30">
                  <c:v>-0.65258238520537015</c:v>
                </c:pt>
                <c:pt idx="31">
                  <c:v>-0.66641403498707008</c:v>
                </c:pt>
                <c:pt idx="32">
                  <c:v>-0.6798778916121816</c:v>
                </c:pt>
                <c:pt idx="33">
                  <c:v>-0.69298178584159353</c:v>
                </c:pt>
                <c:pt idx="34">
                  <c:v>-0.70573349014268949</c:v>
                </c:pt>
                <c:pt idx="35">
                  <c:v>-0.71814071158949766</c:v>
                </c:pt>
                <c:pt idx="36">
                  <c:v>-0.73021108539521595</c:v>
                </c:pt>
                <c:pt idx="37">
                  <c:v>-0.74195216903897143</c:v>
                </c:pt>
                <c:pt idx="38">
                  <c:v>-0.75337143695066999</c:v>
                </c:pt>
                <c:pt idx="39">
                  <c:v>-0.76447627571969501</c:v>
                </c:pt>
              </c:numCache>
            </c:numRef>
          </c:val>
          <c:smooth val="0"/>
        </c:ser>
        <c:ser>
          <c:idx val="2"/>
          <c:order val="2"/>
          <c:tx>
            <c:v>Regular Taxes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'data input worksheet'!$C$227:$C$266</c:f>
              <c:numCache>
                <c:formatCode>[$-409]d\-mmm\-yyyy;@</c:formatCode>
                <c:ptCount val="40"/>
                <c:pt idx="0">
                  <c:v>42026.383684953704</c:v>
                </c:pt>
                <c:pt idx="1">
                  <c:v>42391.383684953704</c:v>
                </c:pt>
                <c:pt idx="2">
                  <c:v>42756.383684953704</c:v>
                </c:pt>
                <c:pt idx="3">
                  <c:v>43121.383684953704</c:v>
                </c:pt>
                <c:pt idx="4">
                  <c:v>43486.383684953704</c:v>
                </c:pt>
                <c:pt idx="5">
                  <c:v>43851.383684953704</c:v>
                </c:pt>
                <c:pt idx="6">
                  <c:v>44216.383684953704</c:v>
                </c:pt>
                <c:pt idx="7">
                  <c:v>44581.383684953704</c:v>
                </c:pt>
                <c:pt idx="8">
                  <c:v>44946.383684953704</c:v>
                </c:pt>
                <c:pt idx="9">
                  <c:v>45311.383684953704</c:v>
                </c:pt>
                <c:pt idx="10">
                  <c:v>45676.383684953704</c:v>
                </c:pt>
                <c:pt idx="11">
                  <c:v>46041.383684953704</c:v>
                </c:pt>
                <c:pt idx="12">
                  <c:v>46406.383684953704</c:v>
                </c:pt>
                <c:pt idx="13">
                  <c:v>46771.383684953704</c:v>
                </c:pt>
                <c:pt idx="14">
                  <c:v>47136.383684953704</c:v>
                </c:pt>
                <c:pt idx="15">
                  <c:v>47501.383684953704</c:v>
                </c:pt>
                <c:pt idx="16">
                  <c:v>47866.383684953704</c:v>
                </c:pt>
                <c:pt idx="17">
                  <c:v>48231.383684953704</c:v>
                </c:pt>
                <c:pt idx="18">
                  <c:v>48596.383684953704</c:v>
                </c:pt>
                <c:pt idx="19">
                  <c:v>48961.383684953704</c:v>
                </c:pt>
                <c:pt idx="20">
                  <c:v>49326.383684953704</c:v>
                </c:pt>
                <c:pt idx="21">
                  <c:v>49691.383684953704</c:v>
                </c:pt>
                <c:pt idx="22">
                  <c:v>50056.383684953704</c:v>
                </c:pt>
                <c:pt idx="23">
                  <c:v>50421.383684953704</c:v>
                </c:pt>
                <c:pt idx="24">
                  <c:v>50786.383684953704</c:v>
                </c:pt>
                <c:pt idx="25">
                  <c:v>51151.383684953704</c:v>
                </c:pt>
                <c:pt idx="26">
                  <c:v>51516.383684953704</c:v>
                </c:pt>
                <c:pt idx="27">
                  <c:v>51881.383684953704</c:v>
                </c:pt>
                <c:pt idx="28">
                  <c:v>52246.383684953704</c:v>
                </c:pt>
                <c:pt idx="29">
                  <c:v>52611.383684953704</c:v>
                </c:pt>
                <c:pt idx="30">
                  <c:v>52976.383684953704</c:v>
                </c:pt>
                <c:pt idx="31">
                  <c:v>53341.383684953704</c:v>
                </c:pt>
                <c:pt idx="32">
                  <c:v>53706.383684953704</c:v>
                </c:pt>
                <c:pt idx="33">
                  <c:v>54071.383684953704</c:v>
                </c:pt>
                <c:pt idx="34">
                  <c:v>54436.383684953704</c:v>
                </c:pt>
                <c:pt idx="35">
                  <c:v>54801.383684953704</c:v>
                </c:pt>
                <c:pt idx="36">
                  <c:v>55166.383684953704</c:v>
                </c:pt>
                <c:pt idx="37">
                  <c:v>55531.383684953704</c:v>
                </c:pt>
                <c:pt idx="38">
                  <c:v>55896.383684953704</c:v>
                </c:pt>
                <c:pt idx="39">
                  <c:v>56261.383684953704</c:v>
                </c:pt>
              </c:numCache>
            </c:numRef>
          </c:cat>
          <c:val>
            <c:numRef>
              <c:f>'data input worksheet'!$AE$227:$AE$266</c:f>
              <c:numCache>
                <c:formatCode>_("$"* #,##0.00_);_("$"* \(#,##0.00\);_("$"* "-"??_);_(@_)</c:formatCode>
                <c:ptCount val="40"/>
                <c:pt idx="0">
                  <c:v>-0.12</c:v>
                </c:pt>
                <c:pt idx="1">
                  <c:v>-0.23769230769230767</c:v>
                </c:pt>
                <c:pt idx="2">
                  <c:v>-0.35307692307692307</c:v>
                </c:pt>
                <c:pt idx="3">
                  <c:v>-0.46615725989986345</c:v>
                </c:pt>
                <c:pt idx="4">
                  <c:v>-0.57693988305731592</c:v>
                </c:pt>
                <c:pt idx="5">
                  <c:v>-0.68543426114955031</c:v>
                </c:pt>
                <c:pt idx="6">
                  <c:v>-0.79165253340768182</c:v>
                </c:pt>
                <c:pt idx="7">
                  <c:v>-0.89560929025372404</c:v>
                </c:pt>
                <c:pt idx="8">
                  <c:v>-0.99732136679000016</c:v>
                </c:pt>
                <c:pt idx="9">
                  <c:v>-1.0968076485479625</c:v>
                </c:pt>
                <c:pt idx="10">
                  <c:v>-1.1940888888588774</c:v>
                </c:pt>
                <c:pt idx="11">
                  <c:v>-1.2891875372397399</c:v>
                </c:pt>
                <c:pt idx="12">
                  <c:v>-1.3821275782172535</c:v>
                </c:pt>
                <c:pt idx="13">
                  <c:v>-1.4729343800408168</c:v>
                </c:pt>
                <c:pt idx="14">
                  <c:v>-1.5616345527622462</c:v>
                </c:pt>
                <c:pt idx="15">
                  <c:v>-1.6482558151855171</c:v>
                </c:pt>
                <c:pt idx="16">
                  <c:v>-1.7328268702141543</c:v>
                </c:pt>
                <c:pt idx="17">
                  <c:v>-1.8153772881471189</c:v>
                </c:pt>
                <c:pt idx="18">
                  <c:v>-1.8959373974961657</c:v>
                </c:pt>
                <c:pt idx="19">
                  <c:v>-1.974538182918737</c:v>
                </c:pt>
                <c:pt idx="20">
                  <c:v>-2.0512111898805538</c:v>
                </c:pt>
                <c:pt idx="21">
                  <c:v>-2.1259884356812271</c:v>
                </c:pt>
                <c:pt idx="22">
                  <c:v>-2.1989023264944514</c:v>
                </c:pt>
                <c:pt idx="23">
                  <c:v>-2.2699855800917454</c:v>
                </c:pt>
                <c:pt idx="24">
                  <c:v>-2.3392711539352615</c:v>
                </c:pt>
                <c:pt idx="25">
                  <c:v>-2.4067921783409751</c:v>
                </c:pt>
                <c:pt idx="26">
                  <c:v>-2.4725818944285933</c:v>
                </c:pt>
                <c:pt idx="27">
                  <c:v>-2.5366735965888489</c:v>
                </c:pt>
                <c:pt idx="28">
                  <c:v>-2.5991005792124744</c:v>
                </c:pt>
                <c:pt idx="29">
                  <c:v>-2.6598960874381454</c:v>
                </c:pt>
                <c:pt idx="30">
                  <c:v>-2.7190932716890419</c:v>
                </c:pt>
                <c:pt idx="31">
                  <c:v>-2.7767251457794582</c:v>
                </c:pt>
                <c:pt idx="32">
                  <c:v>-2.8328245483840893</c:v>
                </c:pt>
                <c:pt idx="33">
                  <c:v>-2.887424107673306</c:v>
                </c:pt>
                <c:pt idx="34">
                  <c:v>-2.9405562089278727</c:v>
                </c:pt>
                <c:pt idx="35">
                  <c:v>-2.9922529649562399</c:v>
                </c:pt>
                <c:pt idx="36">
                  <c:v>-3.0425461891467331</c:v>
                </c:pt>
                <c:pt idx="37">
                  <c:v>-3.0914673709957143</c:v>
                </c:pt>
                <c:pt idx="38">
                  <c:v>-3.139047653961125</c:v>
                </c:pt>
                <c:pt idx="39">
                  <c:v>-3.1853178154987294</c:v>
                </c:pt>
              </c:numCache>
            </c:numRef>
          </c:val>
          <c:smooth val="0"/>
        </c:ser>
        <c:ser>
          <c:idx val="3"/>
          <c:order val="3"/>
          <c:tx>
            <c:v>Tapped Stumpage Payment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'data input worksheet'!$C$227:$C$266</c:f>
              <c:numCache>
                <c:formatCode>[$-409]d\-mmm\-yyyy;@</c:formatCode>
                <c:ptCount val="40"/>
                <c:pt idx="0">
                  <c:v>42026.383684953704</c:v>
                </c:pt>
                <c:pt idx="1">
                  <c:v>42391.383684953704</c:v>
                </c:pt>
                <c:pt idx="2">
                  <c:v>42756.383684953704</c:v>
                </c:pt>
                <c:pt idx="3">
                  <c:v>43121.383684953704</c:v>
                </c:pt>
                <c:pt idx="4">
                  <c:v>43486.383684953704</c:v>
                </c:pt>
                <c:pt idx="5">
                  <c:v>43851.383684953704</c:v>
                </c:pt>
                <c:pt idx="6">
                  <c:v>44216.383684953704</c:v>
                </c:pt>
                <c:pt idx="7">
                  <c:v>44581.383684953704</c:v>
                </c:pt>
                <c:pt idx="8">
                  <c:v>44946.383684953704</c:v>
                </c:pt>
                <c:pt idx="9">
                  <c:v>45311.383684953704</c:v>
                </c:pt>
                <c:pt idx="10">
                  <c:v>45676.383684953704</c:v>
                </c:pt>
                <c:pt idx="11">
                  <c:v>46041.383684953704</c:v>
                </c:pt>
                <c:pt idx="12">
                  <c:v>46406.383684953704</c:v>
                </c:pt>
                <c:pt idx="13">
                  <c:v>46771.383684953704</c:v>
                </c:pt>
                <c:pt idx="14">
                  <c:v>47136.383684953704</c:v>
                </c:pt>
                <c:pt idx="15">
                  <c:v>47501.383684953704</c:v>
                </c:pt>
                <c:pt idx="16">
                  <c:v>47866.383684953704</c:v>
                </c:pt>
                <c:pt idx="17">
                  <c:v>48231.383684953704</c:v>
                </c:pt>
                <c:pt idx="18">
                  <c:v>48596.383684953704</c:v>
                </c:pt>
                <c:pt idx="19">
                  <c:v>48961.383684953704</c:v>
                </c:pt>
                <c:pt idx="20">
                  <c:v>49326.383684953704</c:v>
                </c:pt>
                <c:pt idx="21">
                  <c:v>49691.383684953704</c:v>
                </c:pt>
                <c:pt idx="22">
                  <c:v>50056.383684953704</c:v>
                </c:pt>
                <c:pt idx="23">
                  <c:v>50421.383684953704</c:v>
                </c:pt>
                <c:pt idx="24">
                  <c:v>50786.383684953704</c:v>
                </c:pt>
                <c:pt idx="25">
                  <c:v>51151.383684953704</c:v>
                </c:pt>
                <c:pt idx="26">
                  <c:v>51516.383684953704</c:v>
                </c:pt>
                <c:pt idx="27">
                  <c:v>51881.383684953704</c:v>
                </c:pt>
                <c:pt idx="28">
                  <c:v>52246.383684953704</c:v>
                </c:pt>
                <c:pt idx="29">
                  <c:v>52611.383684953704</c:v>
                </c:pt>
                <c:pt idx="30">
                  <c:v>52976.383684953704</c:v>
                </c:pt>
                <c:pt idx="31">
                  <c:v>53341.383684953704</c:v>
                </c:pt>
                <c:pt idx="32">
                  <c:v>53706.383684953704</c:v>
                </c:pt>
                <c:pt idx="33">
                  <c:v>54071.383684953704</c:v>
                </c:pt>
                <c:pt idx="34">
                  <c:v>54436.383684953704</c:v>
                </c:pt>
                <c:pt idx="35">
                  <c:v>54801.383684953704</c:v>
                </c:pt>
                <c:pt idx="36">
                  <c:v>55166.383684953704</c:v>
                </c:pt>
                <c:pt idx="37">
                  <c:v>55531.383684953704</c:v>
                </c:pt>
                <c:pt idx="38">
                  <c:v>55896.383684953704</c:v>
                </c:pt>
                <c:pt idx="39">
                  <c:v>56261.383684953704</c:v>
                </c:pt>
              </c:numCache>
            </c:numRef>
          </c:cat>
          <c:val>
            <c:numRef>
              <c:f>'data input worksheet'!$Y$227:$Y$266</c:f>
              <c:numCache>
                <c:formatCode>_("$"* #,##0.00_);_("$"* \(#,##0.00\);_("$"* "-"??_);_(@_)</c:formatCode>
                <c:ptCount val="40"/>
                <c:pt idx="0">
                  <c:v>12.864968084999999</c:v>
                </c:pt>
                <c:pt idx="1">
                  <c:v>13.283877115792031</c:v>
                </c:pt>
                <c:pt idx="2">
                  <c:v>13.688311763806844</c:v>
                </c:pt>
                <c:pt idx="3">
                  <c:v>14.07314117397997</c:v>
                </c:pt>
                <c:pt idx="4">
                  <c:v>14.439926773299977</c:v>
                </c:pt>
                <c:pt idx="5">
                  <c:v>14.788612676718992</c:v>
                </c:pt>
                <c:pt idx="6">
                  <c:v>15.119184782787766</c:v>
                </c:pt>
                <c:pt idx="7">
                  <c:v>15.431668450850625</c:v>
                </c:pt>
                <c:pt idx="8">
                  <c:v>15.726126211041736</c:v>
                </c:pt>
                <c:pt idx="9">
                  <c:v>16.002655512663608</c:v>
                </c:pt>
                <c:pt idx="10">
                  <c:v>16.261386515912506</c:v>
                </c:pt>
                <c:pt idx="11">
                  <c:v>16.502479931332495</c:v>
                </c:pt>
                <c:pt idx="12">
                  <c:v>16.726124910830389</c:v>
                </c:pt>
                <c:pt idx="13">
                  <c:v>16.932536993567016</c:v>
                </c:pt>
                <c:pt idx="14">
                  <c:v>17.121956109555057</c:v>
                </c:pt>
                <c:pt idx="15">
                  <c:v>17.2946446433413</c:v>
                </c:pt>
                <c:pt idx="16">
                  <c:v>17.450885559727762</c:v>
                </c:pt>
                <c:pt idx="17">
                  <c:v>17.590980593093821</c:v>
                </c:pt>
                <c:pt idx="18">
                  <c:v>17.715248501517188</c:v>
                </c:pt>
                <c:pt idx="19">
                  <c:v>17.824023386554874</c:v>
                </c:pt>
                <c:pt idx="20">
                  <c:v>17.917653079235809</c:v>
                </c:pt>
                <c:pt idx="21">
                  <c:v>17.996497592531838</c:v>
                </c:pt>
                <c:pt idx="22">
                  <c:v>18.060927640313878</c:v>
                </c:pt>
                <c:pt idx="23">
                  <c:v>18.111323222563072</c:v>
                </c:pt>
                <c:pt idx="24">
                  <c:v>18.148072276390895</c:v>
                </c:pt>
                <c:pt idx="25">
                  <c:v>18.171569392229248</c:v>
                </c:pt>
                <c:pt idx="26">
                  <c:v>21.369880349033274</c:v>
                </c:pt>
                <c:pt idx="27">
                  <c:v>21.304522443880028</c:v>
                </c:pt>
                <c:pt idx="28">
                  <c:v>21.227594832676136</c:v>
                </c:pt>
                <c:pt idx="29">
                  <c:v>21.139545464107581</c:v>
                </c:pt>
                <c:pt idx="30">
                  <c:v>21.040820920574031</c:v>
                </c:pt>
                <c:pt idx="31">
                  <c:v>20.931865587349641</c:v>
                </c:pt>
                <c:pt idx="32">
                  <c:v>20.813120878257834</c:v>
                </c:pt>
                <c:pt idx="33">
                  <c:v>20.685024516091186</c:v>
                </c:pt>
                <c:pt idx="34">
                  <c:v>20.548009865969323</c:v>
                </c:pt>
                <c:pt idx="35">
                  <c:v>20.402505319799822</c:v>
                </c:pt>
                <c:pt idx="36">
                  <c:v>20.248933729986547</c:v>
                </c:pt>
                <c:pt idx="37">
                  <c:v>20.087711890519657</c:v>
                </c:pt>
                <c:pt idx="38">
                  <c:v>19.91925006357738</c:v>
                </c:pt>
                <c:pt idx="39">
                  <c:v>19.743951549772447</c:v>
                </c:pt>
              </c:numCache>
            </c:numRef>
          </c:val>
          <c:smooth val="0"/>
        </c:ser>
        <c:ser>
          <c:idx val="4"/>
          <c:order val="4"/>
          <c:tx>
            <c:v>Untapped Stumpage Payment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none"/>
          </c:marker>
          <c:cat>
            <c:numRef>
              <c:f>'data input worksheet'!$C$227:$C$266</c:f>
              <c:numCache>
                <c:formatCode>[$-409]d\-mmm\-yyyy;@</c:formatCode>
                <c:ptCount val="40"/>
                <c:pt idx="0">
                  <c:v>42026.383684953704</c:v>
                </c:pt>
                <c:pt idx="1">
                  <c:v>42391.383684953704</c:v>
                </c:pt>
                <c:pt idx="2">
                  <c:v>42756.383684953704</c:v>
                </c:pt>
                <c:pt idx="3">
                  <c:v>43121.383684953704</c:v>
                </c:pt>
                <c:pt idx="4">
                  <c:v>43486.383684953704</c:v>
                </c:pt>
                <c:pt idx="5">
                  <c:v>43851.383684953704</c:v>
                </c:pt>
                <c:pt idx="6">
                  <c:v>44216.383684953704</c:v>
                </c:pt>
                <c:pt idx="7">
                  <c:v>44581.383684953704</c:v>
                </c:pt>
                <c:pt idx="8">
                  <c:v>44946.383684953704</c:v>
                </c:pt>
                <c:pt idx="9">
                  <c:v>45311.383684953704</c:v>
                </c:pt>
                <c:pt idx="10">
                  <c:v>45676.383684953704</c:v>
                </c:pt>
                <c:pt idx="11">
                  <c:v>46041.383684953704</c:v>
                </c:pt>
                <c:pt idx="12">
                  <c:v>46406.383684953704</c:v>
                </c:pt>
                <c:pt idx="13">
                  <c:v>46771.383684953704</c:v>
                </c:pt>
                <c:pt idx="14">
                  <c:v>47136.383684953704</c:v>
                </c:pt>
                <c:pt idx="15">
                  <c:v>47501.383684953704</c:v>
                </c:pt>
                <c:pt idx="16">
                  <c:v>47866.383684953704</c:v>
                </c:pt>
                <c:pt idx="17">
                  <c:v>48231.383684953704</c:v>
                </c:pt>
                <c:pt idx="18">
                  <c:v>48596.383684953704</c:v>
                </c:pt>
                <c:pt idx="19">
                  <c:v>48961.383684953704</c:v>
                </c:pt>
                <c:pt idx="20">
                  <c:v>49326.383684953704</c:v>
                </c:pt>
                <c:pt idx="21">
                  <c:v>49691.383684953704</c:v>
                </c:pt>
                <c:pt idx="22">
                  <c:v>50056.383684953704</c:v>
                </c:pt>
                <c:pt idx="23">
                  <c:v>50421.383684953704</c:v>
                </c:pt>
                <c:pt idx="24">
                  <c:v>50786.383684953704</c:v>
                </c:pt>
                <c:pt idx="25">
                  <c:v>51151.383684953704</c:v>
                </c:pt>
                <c:pt idx="26">
                  <c:v>51516.383684953704</c:v>
                </c:pt>
                <c:pt idx="27">
                  <c:v>51881.383684953704</c:v>
                </c:pt>
                <c:pt idx="28">
                  <c:v>52246.383684953704</c:v>
                </c:pt>
                <c:pt idx="29">
                  <c:v>52611.383684953704</c:v>
                </c:pt>
                <c:pt idx="30">
                  <c:v>52976.383684953704</c:v>
                </c:pt>
                <c:pt idx="31">
                  <c:v>53341.383684953704</c:v>
                </c:pt>
                <c:pt idx="32">
                  <c:v>53706.383684953704</c:v>
                </c:pt>
                <c:pt idx="33">
                  <c:v>54071.383684953704</c:v>
                </c:pt>
                <c:pt idx="34">
                  <c:v>54436.383684953704</c:v>
                </c:pt>
                <c:pt idx="35">
                  <c:v>54801.383684953704</c:v>
                </c:pt>
                <c:pt idx="36">
                  <c:v>55166.383684953704</c:v>
                </c:pt>
                <c:pt idx="37">
                  <c:v>55531.383684953704</c:v>
                </c:pt>
                <c:pt idx="38">
                  <c:v>55896.383684953704</c:v>
                </c:pt>
                <c:pt idx="39">
                  <c:v>56261.383684953704</c:v>
                </c:pt>
              </c:numCache>
            </c:numRef>
          </c:cat>
          <c:val>
            <c:numRef>
              <c:f>'data input worksheet'!$X$227:$X$266</c:f>
              <c:numCache>
                <c:formatCode>_("$"* #,##0.00_);_("$"* \(#,##0.00\);_("$"* "-"??_);_(@_)</c:formatCode>
                <c:ptCount val="40"/>
                <c:pt idx="0">
                  <c:v>16.037956824999998</c:v>
                </c:pt>
                <c:pt idx="1">
                  <c:v>16.532712427086452</c:v>
                </c:pt>
                <c:pt idx="2">
                  <c:v>17.007424202305703</c:v>
                </c:pt>
                <c:pt idx="3">
                  <c:v>17.457343981789737</c:v>
                </c:pt>
                <c:pt idx="4">
                  <c:v>17.884059156463795</c:v>
                </c:pt>
                <c:pt idx="5">
                  <c:v>18.28763486275869</c:v>
                </c:pt>
                <c:pt idx="6">
                  <c:v>18.6681819493547</c:v>
                </c:pt>
                <c:pt idx="7">
                  <c:v>19.025854058611159</c:v>
                </c:pt>
                <c:pt idx="8">
                  <c:v>19.360844779919134</c:v>
                </c:pt>
                <c:pt idx="9">
                  <c:v>19.673384878635357</c:v>
                </c:pt>
                <c:pt idx="10">
                  <c:v>19.963739603724463</c:v>
                </c:pt>
                <c:pt idx="11">
                  <c:v>20.232206076734915</c:v>
                </c:pt>
                <c:pt idx="12">
                  <c:v>20.479110764260856</c:v>
                </c:pt>
                <c:pt idx="13">
                  <c:v>20.70480703559727</c:v>
                </c:pt>
                <c:pt idx="14">
                  <c:v>20.909672806880277</c:v>
                </c:pt>
                <c:pt idx="15">
                  <c:v>21.094108272616158</c:v>
                </c:pt>
                <c:pt idx="16">
                  <c:v>21.258533725142861</c:v>
                </c:pt>
                <c:pt idx="17">
                  <c:v>21.403387462233894</c:v>
                </c:pt>
                <c:pt idx="18">
                  <c:v>21.52912378274738</c:v>
                </c:pt>
                <c:pt idx="19">
                  <c:v>21.636211069941133</c:v>
                </c:pt>
                <c:pt idx="20">
                  <c:v>21.725129961816567</c:v>
                </c:pt>
                <c:pt idx="21">
                  <c:v>21.796371607619857</c:v>
                </c:pt>
                <c:pt idx="22">
                  <c:v>21.850436009416953</c:v>
                </c:pt>
                <c:pt idx="23">
                  <c:v>25.715602747371559</c:v>
                </c:pt>
                <c:pt idx="24">
                  <c:v>25.661308203634245</c:v>
                </c:pt>
                <c:pt idx="25">
                  <c:v>25.591890777327045</c:v>
                </c:pt>
                <c:pt idx="26">
                  <c:v>25.507918588734064</c:v>
                </c:pt>
                <c:pt idx="27">
                  <c:v>25.409958480843162</c:v>
                </c:pt>
                <c:pt idx="28">
                  <c:v>25.298574936965242</c:v>
                </c:pt>
                <c:pt idx="29">
                  <c:v>25.174329071466314</c:v>
                </c:pt>
                <c:pt idx="30">
                  <c:v>25.037777691277441</c:v>
                </c:pt>
                <c:pt idx="31">
                  <c:v>24.889472425808176</c:v>
                </c:pt>
                <c:pt idx="32">
                  <c:v>24.72995892286152</c:v>
                </c:pt>
                <c:pt idx="33">
                  <c:v>24.559776108130578</c:v>
                </c:pt>
                <c:pt idx="34">
                  <c:v>24.37945550584929</c:v>
                </c:pt>
                <c:pt idx="35">
                  <c:v>24.189520618170757</c:v>
                </c:pt>
                <c:pt idx="36">
                  <c:v>23.990486360855428</c:v>
                </c:pt>
                <c:pt idx="37">
                  <c:v>23.782858552867435</c:v>
                </c:pt>
                <c:pt idx="38">
                  <c:v>23.567133457500773</c:v>
                </c:pt>
                <c:pt idx="39">
                  <c:v>23.343797372684705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5648"/>
        <c:axId val="113209728"/>
      </c:lineChart>
      <c:dateAx>
        <c:axId val="113195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209728"/>
        <c:crosses val="autoZero"/>
        <c:auto val="1"/>
        <c:lblOffset val="100"/>
        <c:baseTimeUnit val="years"/>
        <c:majorUnit val="2"/>
        <c:majorTimeUnit val="years"/>
        <c:minorUnit val="1"/>
        <c:minorTimeUnit val="years"/>
      </c:dateAx>
      <c:valAx>
        <c:axId val="11320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Present Value ($/tree)</a:t>
                </a:r>
              </a:p>
            </c:rich>
          </c:tx>
          <c:layout>
            <c:manualLayout>
              <c:xMode val="edge"/>
              <c:yMode val="edge"/>
              <c:x val="1.22086570477247E-2"/>
              <c:y val="0.40456769983686802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19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648168701442801E-2"/>
          <c:y val="0.89233278955954198"/>
          <c:w val="0.96448390677025397"/>
          <c:h val="0.10114192495921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customSheetViews>
    <customSheetView guid="{09424FF3-0ADC-F248-B0A5-DA1BAD95D1DA}" scale="88">
      <pageMargins left="0.7" right="0.7" top="0.75" bottom="0.75" header="0.3" footer="0.3"/>
      <headerFooter alignWithMargins="0"/>
    </customSheetView>
    <customSheetView guid="{CDC41083-D9F5-D74F-A913-DB217693A658}" scale="88">
      <pageMargins left="0.7" right="0.7" top="0.75" bottom="0.75" header="0.3" footer="0.3"/>
      <headerFooter alignWithMargins="0"/>
    </customSheetView>
    <customSheetView guid="{0F7CA430-D3B9-4441-B8D8-253796577FB5}" scale="88">
      <pageMargins left="0.7" right="0.7" top="0.75" bottom="0.75" header="0.3" footer="0.3"/>
      <headerFooter alignWithMargins="0"/>
    </customSheetView>
  </customSheetViews>
  <pageMargins left="0.7" right="0.7" top="0.75" bottom="0.75" header="0.3" footer="0.3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customSheetViews>
    <customSheetView guid="{09424FF3-0ADC-F248-B0A5-DA1BAD95D1DA}" scale="88">
      <pageMargins left="0.7" right="0.7" top="0.75" bottom="0.75" header="0.3" footer="0.3"/>
      <pageSetup orientation="landscape" horizontalDpi="4294967292" verticalDpi="4294967292"/>
      <headerFooter alignWithMargins="0"/>
    </customSheetView>
    <customSheetView guid="{CDC41083-D9F5-D74F-A913-DB217693A658}" scale="88">
      <pageMargins left="0.7" right="0.7" top="0.75" bottom="0.75" header="0.3" footer="0.3"/>
      <headerFooter alignWithMargins="0"/>
    </customSheetView>
    <customSheetView guid="{0F7CA430-D3B9-4441-B8D8-253796577FB5}" scale="88">
      <pageMargins left="0.7" right="0.7" top="0.75" bottom="0.75" header="0.3" footer="0.3"/>
      <headerFooter alignWithMargins="0"/>
    </customSheetView>
  </customSheetViews>
  <pageMargins left="0.7" right="0.7" top="0.75" bottom="0.75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2994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2994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7.xml"/><Relationship Id="rId16" Type="http://schemas.openxmlformats.org/officeDocument/2006/relationships/revisionLog" Target="revisionLog3.xml"/><Relationship Id="rId15" Type="http://schemas.openxmlformats.org/officeDocument/2006/relationships/revisionLog" Target="revisionLog2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B1BBE71-54B1-4AE6-BB92-841698E2A19F}" diskRevisions="1" revisionId="201" version="2">
  <header guid="{DAAC433C-502F-41D8-BE51-A94292622578}" dateTime="2013-12-18T12:29:34" maxSheetId="6" userName="Windows User" r:id="rId13" minRId="178" maxRId="180">
    <sheetIdMap count="5">
      <sheetId val="5"/>
      <sheetId val="1"/>
      <sheetId val="2"/>
      <sheetId val="4"/>
      <sheetId val="3"/>
    </sheetIdMap>
  </header>
  <header guid="{199093EA-CAA6-4143-AF37-68AF74EED8F3}" dateTime="2014-11-21T22:10:11" maxSheetId="6" userName="Windows User" r:id="rId14" minRId="181" maxRId="183">
    <sheetIdMap count="5">
      <sheetId val="5"/>
      <sheetId val="1"/>
      <sheetId val="2"/>
      <sheetId val="4"/>
      <sheetId val="3"/>
    </sheetIdMap>
  </header>
  <header guid="{F1697D8C-D448-4074-8E4A-27191F319005}" dateTime="2015-01-21T10:06:29" maxSheetId="6" userName="Windows User" r:id="rId15">
    <sheetIdMap count="5">
      <sheetId val="5"/>
      <sheetId val="1"/>
      <sheetId val="2"/>
      <sheetId val="4"/>
      <sheetId val="3"/>
    </sheetIdMap>
  </header>
  <header guid="{6B1BBE71-54B1-4AE6-BB92-841698E2A19F}" dateTime="2015-01-22T09:12:33" maxSheetId="6" userName="Windows User" r:id="rId16" minRId="185" maxRId="201">
    <sheetIdMap count="5">
      <sheetId val="5"/>
      <sheetId val="1"/>
      <sheetId val="2"/>
      <sheetId val="4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" sId="1" numFmtId="34">
    <oc r="C31">
      <v>0.5</v>
    </oc>
    <nc r="C31">
      <v>1</v>
    </nc>
  </rcc>
  <rcc rId="182" sId="1">
    <oc r="C18" t="inlineStr">
      <is>
        <t>red</t>
      </is>
    </oc>
    <nc r="C18" t="inlineStr">
      <is>
        <t>sugar</t>
      </is>
    </nc>
  </rcc>
  <rcc rId="183" sId="1">
    <oc r="C9">
      <v>12</v>
    </oc>
    <nc r="C9">
      <v>18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F7CA430-D3B9-4441-B8D8-253796577FB5}" action="delete"/>
  <rdn rId="0" localSheetId="1" customView="1" name="Z_0F7CA430_D3B9_4441_B8D8_253796577FB5_.wvu.Cols" hidden="1" oldHidden="1">
    <formula>'data input worksheet'!$A:$A,'data input worksheet'!$AP:$AP</formula>
    <oldFormula>'data input worksheet'!$A:$A,'data input worksheet'!$AP:$AP</oldFormula>
  </rdn>
  <rcv guid="{0F7CA430-D3B9-4441-B8D8-253796577FB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3">
    <nc r="F26">
      <v>1000000</v>
    </nc>
  </rcc>
  <rcc rId="186" sId="3">
    <nc r="F27">
      <v>500</v>
    </nc>
  </rcc>
  <rcc rId="187" sId="3">
    <nc r="F28">
      <f>F27/F26</f>
    </nc>
  </rcc>
  <rfmt sheetId="3" sqref="F28">
    <dxf>
      <numFmt numFmtId="13" formatCode="0%"/>
    </dxf>
  </rfmt>
  <rfmt sheetId="3" sqref="F28">
    <dxf>
      <numFmt numFmtId="170" formatCode="0.0%"/>
    </dxf>
  </rfmt>
  <rfmt sheetId="3" sqref="F28">
    <dxf>
      <numFmt numFmtId="14" formatCode="0.00%"/>
    </dxf>
  </rfmt>
  <rcc rId="188" sId="3">
    <nc r="F30">
      <v>20000</v>
    </nc>
  </rcc>
  <rcc rId="189" sId="3">
    <nc r="F31">
      <f>F30*150</f>
    </nc>
  </rcc>
  <rfmt sheetId="3" sqref="F31">
    <dxf>
      <numFmt numFmtId="35" formatCode="_(* #,##0.00_);_(* \(#,##0.00\);_(* &quot;-&quot;??_);_(@_)"/>
    </dxf>
  </rfmt>
  <rcc rId="190" sId="1">
    <oc r="C53">
      <v>325</v>
    </oc>
    <nc r="C53">
      <v>250</v>
    </nc>
  </rcc>
  <rcc rId="191" sId="1">
    <oc r="C54">
      <v>450</v>
    </oc>
    <nc r="C54">
      <v>350</v>
    </nc>
  </rcc>
  <rcc rId="192" sId="1">
    <oc r="C55">
      <v>550</v>
    </oc>
    <nc r="C55">
      <v>450</v>
    </nc>
  </rcc>
  <rcc rId="193" sId="1">
    <oc r="C56">
      <v>800</v>
    </oc>
    <nc r="C56">
      <v>600</v>
    </nc>
  </rcc>
  <rcc rId="194" sId="1" numFmtId="34">
    <nc r="C31">
      <v>0.6</v>
    </nc>
  </rcc>
  <rcc rId="195" sId="1">
    <nc r="C9">
      <v>10</v>
    </nc>
  </rcc>
  <rcc rId="196" sId="1">
    <nc r="C9">
      <v>18</v>
    </nc>
  </rcc>
  <rcc rId="197" sId="1" numFmtId="34">
    <nc r="C31">
      <v>1</v>
    </nc>
  </rcc>
  <rcc rId="198" sId="1" numFmtId="34">
    <nc r="C31">
      <v>0.6</v>
    </nc>
  </rcc>
  <rcc rId="199" sId="1" numFmtId="14">
    <oc r="C44">
      <v>0.06</v>
    </oc>
    <nc r="C44">
      <v>0.04</v>
    </nc>
  </rcc>
  <rcc rId="200" sId="1">
    <oc r="C9">
      <v>18</v>
    </oc>
    <nc r="C9">
      <v>14</v>
    </nc>
  </rcc>
  <rcc rId="201" sId="1" numFmtId="34">
    <oc r="C31">
      <v>1</v>
    </oc>
    <nc r="C31">
      <v>0.5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" sId="1">
    <oc r="B1" t="inlineStr">
      <is>
        <t>Fill in the values highlighted in the yellow cells for the tree in question, then refer to the worksheet titled 'NPV fraphs 4 scenarios' for the results.</t>
      </is>
    </oc>
    <nc r="B1" t="inlineStr">
      <is>
        <t>Fill in the values highlighted in the yellow cells for the tree in question, then refer to the worksheet titled 'NPV graphs 4 scenarios' for the results.</t>
      </is>
    </nc>
  </rcc>
  <rcv guid="{0F7CA430-D3B9-4441-B8D8-253796577FB5}" action="delete"/>
  <rdn rId="0" localSheetId="1" customView="1" name="Z_0F7CA430_D3B9_4441_B8D8_253796577FB5_.wvu.Cols" hidden="1" oldHidden="1">
    <formula>'data input worksheet'!$A:$A,'data input worksheet'!$AP:$AP</formula>
    <oldFormula>'data input worksheet'!$A:$A,'data input worksheet'!$AP:$AP</oldFormula>
  </rdn>
  <rcv guid="{0F7CA430-D3B9-4441-B8D8-253796577FB5}" action="add"/>
  <rsnm rId="180" sheetId="5" oldName="[NPVCalculatorTapping dec18.xlsx]Sheet1" newName="[NPVCalculatorTapping dec18.xlsx]welcome and overview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F1697D8C-D448-4074-8E4A-27191F319005}" name="Windows User" id="-1378398183" dateTime="2015-01-22T09:12:33"/>
  <userInfo guid="{6B1BBE71-54B1-4AE6-BB92-841698E2A19F}" name="Majumdar, Indrajit (MNRF)" id="-1498042671" dateTime="2015-01-22T09:55:5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showGridLines="0" showRowColHeaders="0" workbookViewId="0">
      <selection activeCell="F22" sqref="F22"/>
    </sheetView>
  </sheetViews>
  <sheetFormatPr defaultColWidth="8.85546875" defaultRowHeight="12.75" x14ac:dyDescent="0.2"/>
  <sheetData>
    <row r="1" spans="1:1" ht="20.25" x14ac:dyDescent="0.3">
      <c r="A1" s="74" t="s">
        <v>291</v>
      </c>
    </row>
    <row r="2" spans="1:1" ht="20.25" x14ac:dyDescent="0.3">
      <c r="A2" s="74"/>
    </row>
    <row r="3" spans="1:1" ht="20.25" x14ac:dyDescent="0.3">
      <c r="A3" s="74" t="s">
        <v>287</v>
      </c>
    </row>
    <row r="4" spans="1:1" ht="23.25" x14ac:dyDescent="0.35">
      <c r="A4" s="75" t="s">
        <v>292</v>
      </c>
    </row>
    <row r="5" spans="1:1" ht="20.25" x14ac:dyDescent="0.3">
      <c r="A5" s="74"/>
    </row>
    <row r="6" spans="1:1" ht="20.25" x14ac:dyDescent="0.3">
      <c r="A6" s="74" t="s">
        <v>289</v>
      </c>
    </row>
    <row r="7" spans="1:1" ht="20.25" x14ac:dyDescent="0.3">
      <c r="A7" s="74" t="s">
        <v>288</v>
      </c>
    </row>
    <row r="8" spans="1:1" ht="20.25" x14ac:dyDescent="0.3">
      <c r="A8" s="74"/>
    </row>
    <row r="9" spans="1:1" ht="20.25" x14ac:dyDescent="0.3">
      <c r="A9" s="74" t="s">
        <v>293</v>
      </c>
    </row>
    <row r="10" spans="1:1" ht="20.25" x14ac:dyDescent="0.3">
      <c r="A10" s="74" t="s">
        <v>294</v>
      </c>
    </row>
    <row r="11" spans="1:1" ht="20.25" x14ac:dyDescent="0.3">
      <c r="A11" s="74"/>
    </row>
    <row r="12" spans="1:1" ht="20.25" x14ac:dyDescent="0.3">
      <c r="A12" s="74" t="s">
        <v>296</v>
      </c>
    </row>
    <row r="13" spans="1:1" ht="20.25" x14ac:dyDescent="0.3">
      <c r="A13" s="74"/>
    </row>
    <row r="14" spans="1:1" ht="20.25" x14ac:dyDescent="0.3">
      <c r="A14" s="74" t="s">
        <v>295</v>
      </c>
    </row>
  </sheetData>
  <customSheetViews>
    <customSheetView guid="{CDC41083-D9F5-D74F-A913-DB217693A658}" showGridLines="0" showRowCol="0">
      <selection activeCell="R17" sqref="R17"/>
      <pageMargins left="0.7" right="0.7" top="0.75" bottom="0.75" header="0.3" footer="0.3"/>
    </customSheetView>
    <customSheetView guid="{0F7CA430-D3B9-4441-B8D8-253796577FB5}" showGridLines="0" showRowCol="0">
      <selection activeCell="F22" sqref="F22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83"/>
  <sheetViews>
    <sheetView tabSelected="1" topLeftCell="B1" zoomScaleNormal="100" zoomScalePageLayoutView="125" workbookViewId="0">
      <selection activeCell="D12" sqref="D12"/>
    </sheetView>
  </sheetViews>
  <sheetFormatPr defaultColWidth="8.85546875" defaultRowHeight="12.75" x14ac:dyDescent="0.2"/>
  <cols>
    <col min="1" max="1" width="8.85546875" style="2" hidden="1" customWidth="1"/>
    <col min="2" max="2" width="47.7109375" style="2" customWidth="1"/>
    <col min="3" max="3" width="12.42578125" style="2" bestFit="1" customWidth="1"/>
    <col min="4" max="4" width="20.28515625" style="2" customWidth="1"/>
    <col min="5" max="5" width="12" style="2" bestFit="1" customWidth="1"/>
    <col min="6" max="6" width="14.140625" style="2" bestFit="1" customWidth="1"/>
    <col min="7" max="7" width="45.7109375" style="2" customWidth="1"/>
    <col min="8" max="8" width="14.85546875" style="2" bestFit="1" customWidth="1"/>
    <col min="9" max="11" width="11.140625" style="2" bestFit="1" customWidth="1"/>
    <col min="12" max="12" width="10.7109375" style="2" customWidth="1"/>
    <col min="13" max="13" width="16" style="2" bestFit="1" customWidth="1"/>
    <col min="14" max="14" width="22.7109375" style="2" bestFit="1" customWidth="1"/>
    <col min="15" max="15" width="22.7109375" style="2" customWidth="1"/>
    <col min="16" max="17" width="17.7109375" style="2" bestFit="1" customWidth="1"/>
    <col min="18" max="18" width="17.7109375" style="13" customWidth="1"/>
    <col min="19" max="19" width="20.7109375" style="2" bestFit="1" customWidth="1"/>
    <col min="20" max="20" width="12.28515625" style="2" customWidth="1"/>
    <col min="21" max="21" width="17.7109375" style="2" bestFit="1" customWidth="1"/>
    <col min="22" max="22" width="17.7109375" style="62" bestFit="1" customWidth="1"/>
    <col min="23" max="23" width="17.7109375" style="13" customWidth="1"/>
    <col min="24" max="24" width="21.42578125" style="13" bestFit="1" customWidth="1"/>
    <col min="25" max="25" width="19.42578125" style="13" bestFit="1" customWidth="1"/>
    <col min="26" max="26" width="13.7109375" style="13" customWidth="1"/>
    <col min="27" max="27" width="15.28515625" style="13" bestFit="1" customWidth="1"/>
    <col min="28" max="28" width="13.7109375" style="13" customWidth="1"/>
    <col min="29" max="29" width="18.42578125" style="13" bestFit="1" customWidth="1"/>
    <col min="30" max="30" width="13.42578125" style="13" bestFit="1" customWidth="1"/>
    <col min="31" max="31" width="16.140625" style="13" bestFit="1" customWidth="1"/>
    <col min="32" max="32" width="40.85546875" style="13" bestFit="1" customWidth="1"/>
    <col min="33" max="33" width="23.42578125" style="13" bestFit="1" customWidth="1"/>
    <col min="34" max="34" width="38.42578125" style="13" bestFit="1" customWidth="1"/>
    <col min="35" max="35" width="34.140625" style="13" bestFit="1" customWidth="1"/>
    <col min="36" max="36" width="34.85546875" style="2" bestFit="1" customWidth="1"/>
    <col min="37" max="37" width="37.42578125" style="2" bestFit="1" customWidth="1"/>
    <col min="38" max="38" width="37" style="2" bestFit="1" customWidth="1"/>
    <col min="39" max="39" width="48.42578125" style="2" bestFit="1" customWidth="1"/>
    <col min="40" max="40" width="26.28515625" style="2" bestFit="1" customWidth="1"/>
    <col min="41" max="41" width="21.85546875" style="2" customWidth="1"/>
    <col min="42" max="42" width="28.28515625" style="2" hidden="1" customWidth="1"/>
    <col min="43" max="44" width="8.85546875" style="2"/>
    <col min="45" max="45" width="18.140625" style="2" bestFit="1" customWidth="1"/>
    <col min="46" max="46" width="16.85546875" style="2" bestFit="1" customWidth="1"/>
    <col min="47" max="47" width="30" style="2" bestFit="1" customWidth="1"/>
    <col min="48" max="48" width="8.85546875" style="2"/>
    <col min="49" max="49" width="47.42578125" style="2" bestFit="1" customWidth="1"/>
    <col min="50" max="50" width="49.7109375" style="2" bestFit="1" customWidth="1"/>
    <col min="51" max="51" width="51.140625" style="2" bestFit="1" customWidth="1"/>
    <col min="52" max="52" width="53.28515625" style="2" bestFit="1" customWidth="1"/>
    <col min="53" max="16384" width="8.85546875" style="2"/>
  </cols>
  <sheetData>
    <row r="1" spans="1:37" ht="18.75" x14ac:dyDescent="0.3">
      <c r="B1" s="88" t="s">
        <v>297</v>
      </c>
      <c r="C1" s="79"/>
      <c r="D1" s="79"/>
      <c r="E1" s="79"/>
      <c r="F1" s="79"/>
      <c r="G1" s="79"/>
      <c r="H1" s="79"/>
    </row>
    <row r="3" spans="1:37" x14ac:dyDescent="0.2">
      <c r="B3" s="9" t="s">
        <v>0</v>
      </c>
      <c r="G3" s="9" t="s">
        <v>225</v>
      </c>
      <c r="U3" s="10"/>
      <c r="V3" s="11"/>
      <c r="X3" s="12"/>
      <c r="Y3" s="12"/>
      <c r="Z3" s="10"/>
      <c r="AA3" s="12"/>
      <c r="AB3" s="12"/>
      <c r="AC3" s="10"/>
      <c r="AD3" s="12"/>
      <c r="AE3" s="12"/>
      <c r="AF3" s="12"/>
      <c r="AG3" s="12"/>
      <c r="AH3" s="12"/>
    </row>
    <row r="4" spans="1:37" x14ac:dyDescent="0.2">
      <c r="B4" s="14" t="s">
        <v>179</v>
      </c>
      <c r="C4" s="14"/>
      <c r="D4" s="14"/>
      <c r="G4" s="2" t="s">
        <v>259</v>
      </c>
      <c r="H4" s="28" t="s">
        <v>234</v>
      </c>
      <c r="U4" s="10"/>
      <c r="V4" s="15"/>
      <c r="X4" s="15"/>
      <c r="Y4" s="15"/>
      <c r="Z4" s="15"/>
      <c r="AA4" s="15"/>
      <c r="AB4" s="12"/>
      <c r="AC4" s="10"/>
      <c r="AD4" s="12"/>
      <c r="AE4" s="12"/>
      <c r="AF4" s="12"/>
      <c r="AG4" s="12"/>
      <c r="AH4" s="12"/>
    </row>
    <row r="5" spans="1:37" x14ac:dyDescent="0.2">
      <c r="B5" s="14" t="s">
        <v>285</v>
      </c>
      <c r="G5" s="2" t="s">
        <v>260</v>
      </c>
      <c r="H5" s="28" t="s">
        <v>219</v>
      </c>
      <c r="U5" s="10"/>
      <c r="V5" s="8"/>
      <c r="X5" s="8"/>
      <c r="Y5" s="8"/>
      <c r="Z5" s="8"/>
      <c r="AA5" s="8"/>
      <c r="AB5" s="8"/>
      <c r="AC5" s="8"/>
      <c r="AD5" s="12"/>
      <c r="AE5" s="12"/>
      <c r="AF5" s="12"/>
      <c r="AG5" s="12"/>
      <c r="AH5" s="12"/>
    </row>
    <row r="6" spans="1:37" x14ac:dyDescent="0.2">
      <c r="B6" s="14"/>
      <c r="U6" s="10"/>
      <c r="V6" s="8"/>
      <c r="X6" s="8"/>
      <c r="Y6" s="8"/>
      <c r="Z6" s="8"/>
      <c r="AA6" s="8"/>
      <c r="AB6" s="8"/>
      <c r="AC6" s="8"/>
      <c r="AD6" s="12"/>
      <c r="AE6" s="12"/>
      <c r="AF6" s="12"/>
      <c r="AG6" s="12"/>
      <c r="AH6" s="12"/>
    </row>
    <row r="7" spans="1:37" x14ac:dyDescent="0.2">
      <c r="B7" s="3" t="s">
        <v>4</v>
      </c>
      <c r="C7" s="3" t="s">
        <v>5</v>
      </c>
      <c r="D7" s="3" t="s">
        <v>6</v>
      </c>
      <c r="F7" s="9"/>
      <c r="G7" s="9" t="s">
        <v>226</v>
      </c>
      <c r="U7" s="10"/>
      <c r="V7" s="8"/>
      <c r="X7" s="8"/>
      <c r="Y7" s="8"/>
      <c r="Z7" s="8"/>
      <c r="AA7" s="8"/>
      <c r="AB7" s="8"/>
      <c r="AC7" s="8"/>
      <c r="AD7" s="12"/>
      <c r="AE7" s="12"/>
      <c r="AF7" s="12"/>
      <c r="AG7" s="12"/>
      <c r="AH7" s="12"/>
      <c r="AJ7" s="13"/>
      <c r="AK7" s="13"/>
    </row>
    <row r="8" spans="1:37" x14ac:dyDescent="0.2">
      <c r="A8" s="2">
        <v>1</v>
      </c>
      <c r="B8" s="66" t="s">
        <v>214</v>
      </c>
      <c r="G8" s="14" t="s">
        <v>181</v>
      </c>
      <c r="U8" s="10"/>
      <c r="V8" s="8"/>
      <c r="X8" s="8"/>
      <c r="Y8" s="8"/>
      <c r="Z8" s="8"/>
      <c r="AA8" s="8"/>
      <c r="AB8" s="8"/>
      <c r="AC8" s="8"/>
      <c r="AD8" s="12"/>
      <c r="AE8" s="12"/>
      <c r="AF8" s="12"/>
      <c r="AG8" s="12"/>
      <c r="AH8" s="12"/>
      <c r="AJ8" s="13"/>
      <c r="AK8" s="13"/>
    </row>
    <row r="9" spans="1:37" x14ac:dyDescent="0.2">
      <c r="A9" s="2">
        <v>2</v>
      </c>
      <c r="B9" s="13" t="s">
        <v>11</v>
      </c>
      <c r="C9" s="76">
        <v>14</v>
      </c>
      <c r="D9" s="13" t="s">
        <v>12</v>
      </c>
      <c r="F9" s="14"/>
      <c r="G9" s="14" t="s">
        <v>261</v>
      </c>
      <c r="U9" s="10"/>
      <c r="V9" s="8"/>
      <c r="X9" s="8"/>
      <c r="Y9" s="8"/>
      <c r="Z9" s="8"/>
      <c r="AA9" s="8"/>
      <c r="AB9" s="8"/>
      <c r="AC9" s="8"/>
      <c r="AD9" s="12"/>
      <c r="AE9" s="12"/>
      <c r="AF9" s="12"/>
      <c r="AG9" s="12"/>
      <c r="AH9" s="12"/>
      <c r="AJ9" s="13"/>
      <c r="AK9" s="13"/>
    </row>
    <row r="10" spans="1:37" x14ac:dyDescent="0.2">
      <c r="A10" s="2">
        <v>3</v>
      </c>
      <c r="B10" s="13" t="s">
        <v>17</v>
      </c>
      <c r="C10" s="76">
        <v>32</v>
      </c>
      <c r="D10" s="2" t="s">
        <v>18</v>
      </c>
      <c r="G10" s="14"/>
      <c r="U10" s="10"/>
      <c r="V10" s="8"/>
      <c r="X10" s="8"/>
      <c r="Y10" s="8"/>
      <c r="Z10" s="8"/>
      <c r="AA10" s="8"/>
      <c r="AB10" s="8"/>
      <c r="AC10" s="8"/>
      <c r="AD10" s="12"/>
      <c r="AE10" s="12"/>
      <c r="AF10" s="12"/>
      <c r="AG10" s="12"/>
      <c r="AH10" s="12"/>
      <c r="AJ10" s="13"/>
      <c r="AK10" s="13"/>
    </row>
    <row r="11" spans="1:37" x14ac:dyDescent="0.2">
      <c r="A11" s="2">
        <v>4</v>
      </c>
      <c r="B11" s="13" t="s">
        <v>20</v>
      </c>
      <c r="C11" s="76">
        <v>0.5</v>
      </c>
      <c r="D11" s="13" t="s">
        <v>18</v>
      </c>
      <c r="F11" s="14"/>
      <c r="G11" s="9" t="s">
        <v>4</v>
      </c>
      <c r="H11" s="3" t="s">
        <v>5</v>
      </c>
      <c r="I11" s="3" t="s">
        <v>6</v>
      </c>
      <c r="U11" s="10"/>
      <c r="V11" s="8"/>
      <c r="X11" s="8"/>
      <c r="Y11" s="8"/>
      <c r="Z11" s="8"/>
      <c r="AA11" s="8"/>
      <c r="AB11" s="8"/>
      <c r="AC11" s="8"/>
      <c r="AD11" s="12"/>
      <c r="AE11" s="12"/>
      <c r="AF11" s="12"/>
      <c r="AG11" s="12"/>
      <c r="AH11" s="12"/>
      <c r="AJ11" s="13"/>
      <c r="AK11" s="13"/>
    </row>
    <row r="12" spans="1:37" x14ac:dyDescent="0.2">
      <c r="A12" s="2">
        <v>5</v>
      </c>
      <c r="B12" s="13" t="s">
        <v>113</v>
      </c>
      <c r="C12" s="77">
        <v>0.1</v>
      </c>
      <c r="D12" s="13" t="s">
        <v>21</v>
      </c>
      <c r="F12" s="14"/>
      <c r="G12" s="66" t="s">
        <v>214</v>
      </c>
      <c r="U12" s="10"/>
      <c r="V12" s="8"/>
      <c r="X12" s="8"/>
      <c r="Y12" s="8"/>
      <c r="Z12" s="8"/>
      <c r="AA12" s="8"/>
      <c r="AB12" s="8"/>
      <c r="AC12" s="8"/>
      <c r="AD12" s="12"/>
      <c r="AE12" s="12"/>
      <c r="AF12" s="12"/>
      <c r="AG12" s="12"/>
      <c r="AH12" s="12"/>
      <c r="AJ12" s="13"/>
      <c r="AK12" s="13"/>
    </row>
    <row r="13" spans="1:37" x14ac:dyDescent="0.2">
      <c r="A13" s="2">
        <v>6</v>
      </c>
      <c r="B13" s="13" t="s">
        <v>241</v>
      </c>
      <c r="C13" s="77">
        <f>0.01</f>
        <v>0.01</v>
      </c>
      <c r="D13" s="13" t="s">
        <v>21</v>
      </c>
      <c r="F13" s="14"/>
      <c r="G13" s="2" t="s">
        <v>262</v>
      </c>
      <c r="H13" s="20">
        <f>C14*(1-$C$15)</f>
        <v>9.0000000000000011E-2</v>
      </c>
      <c r="I13" s="2" t="s">
        <v>24</v>
      </c>
      <c r="U13" s="10"/>
      <c r="V13" s="8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J13" s="13"/>
      <c r="AK13" s="13"/>
    </row>
    <row r="14" spans="1:37" x14ac:dyDescent="0.2">
      <c r="A14" s="2">
        <v>7</v>
      </c>
      <c r="B14" s="13" t="s">
        <v>242</v>
      </c>
      <c r="C14" s="76">
        <v>0.1</v>
      </c>
      <c r="D14" s="2" t="s">
        <v>230</v>
      </c>
      <c r="F14" s="14"/>
      <c r="G14" s="2" t="s">
        <v>60</v>
      </c>
      <c r="H14" s="13">
        <f>C11*(1-$C$12)</f>
        <v>0.45</v>
      </c>
      <c r="I14" s="2" t="s">
        <v>21</v>
      </c>
      <c r="U14" s="10"/>
      <c r="V14" s="8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J14" s="13"/>
      <c r="AK14" s="13"/>
    </row>
    <row r="15" spans="1:37" x14ac:dyDescent="0.2">
      <c r="A15" s="2">
        <v>8</v>
      </c>
      <c r="B15" s="13" t="s">
        <v>112</v>
      </c>
      <c r="C15" s="78">
        <v>0.1</v>
      </c>
      <c r="D15" s="13" t="s">
        <v>231</v>
      </c>
      <c r="F15" s="14"/>
      <c r="G15" s="66" t="s">
        <v>218</v>
      </c>
      <c r="J15" s="13"/>
      <c r="U15" s="10"/>
      <c r="V15" s="11"/>
      <c r="X15" s="12"/>
      <c r="Y15" s="12"/>
      <c r="Z15" s="10"/>
      <c r="AA15" s="12"/>
      <c r="AB15" s="12"/>
      <c r="AC15" s="10"/>
      <c r="AD15" s="12"/>
      <c r="AE15" s="12"/>
      <c r="AF15" s="12"/>
      <c r="AG15" s="12"/>
      <c r="AH15" s="12"/>
      <c r="AJ15" s="13"/>
      <c r="AK15" s="13"/>
    </row>
    <row r="16" spans="1:37" x14ac:dyDescent="0.2">
      <c r="A16" s="2">
        <v>9</v>
      </c>
      <c r="B16" s="66" t="s">
        <v>218</v>
      </c>
      <c r="C16" s="85"/>
      <c r="F16" s="14"/>
      <c r="G16" s="2" t="s">
        <v>61</v>
      </c>
      <c r="H16" s="13">
        <f>C19/16</f>
        <v>0.5</v>
      </c>
      <c r="I16" s="2" t="s">
        <v>62</v>
      </c>
      <c r="U16" s="10"/>
      <c r="V16" s="15"/>
      <c r="X16" s="15"/>
      <c r="Y16" s="15"/>
      <c r="Z16" s="15"/>
      <c r="AA16" s="15"/>
      <c r="AB16" s="12"/>
      <c r="AC16" s="10"/>
      <c r="AD16" s="12"/>
      <c r="AE16" s="12"/>
      <c r="AF16" s="12"/>
      <c r="AG16" s="12"/>
      <c r="AH16" s="12"/>
      <c r="AJ16" s="13"/>
      <c r="AK16" s="13"/>
    </row>
    <row r="17" spans="1:37" x14ac:dyDescent="0.2">
      <c r="B17" s="13" t="s">
        <v>243</v>
      </c>
      <c r="C17" s="77">
        <f>0.01</f>
        <v>0.01</v>
      </c>
      <c r="D17" s="13" t="s">
        <v>232</v>
      </c>
      <c r="F17" s="14"/>
      <c r="G17" s="2" t="s">
        <v>263</v>
      </c>
      <c r="H17" s="16">
        <f>H20*$C$23</f>
        <v>7.875</v>
      </c>
      <c r="I17" s="2" t="s">
        <v>56</v>
      </c>
      <c r="U17" s="10"/>
      <c r="V17" s="15"/>
      <c r="X17" s="15"/>
      <c r="Y17" s="15"/>
      <c r="Z17" s="15"/>
      <c r="AA17" s="15"/>
      <c r="AB17" s="12"/>
      <c r="AC17" s="10"/>
      <c r="AD17" s="12"/>
      <c r="AE17" s="12"/>
      <c r="AF17" s="12"/>
      <c r="AG17" s="12"/>
      <c r="AH17" s="12"/>
      <c r="AJ17" s="13"/>
      <c r="AK17" s="13"/>
    </row>
    <row r="18" spans="1:37" x14ac:dyDescent="0.2">
      <c r="A18" s="2">
        <v>10</v>
      </c>
      <c r="B18" s="13" t="s">
        <v>25</v>
      </c>
      <c r="C18" s="76" t="s">
        <v>298</v>
      </c>
      <c r="D18" s="13" t="s">
        <v>26</v>
      </c>
      <c r="G18" s="2" t="s">
        <v>264</v>
      </c>
      <c r="H18" s="16">
        <f>H21*$C$23</f>
        <v>2.5987499999999999</v>
      </c>
      <c r="I18" s="2" t="s">
        <v>56</v>
      </c>
      <c r="U18" s="10"/>
      <c r="V18" s="8"/>
      <c r="X18" s="8"/>
      <c r="Y18" s="8"/>
      <c r="Z18" s="8"/>
      <c r="AA18" s="8"/>
      <c r="AB18" s="8"/>
      <c r="AC18" s="8"/>
      <c r="AD18" s="12"/>
      <c r="AE18" s="12"/>
      <c r="AF18" s="12"/>
      <c r="AG18" s="12"/>
      <c r="AH18" s="12"/>
      <c r="AJ18" s="13"/>
      <c r="AK18" s="13"/>
    </row>
    <row r="19" spans="1:37" x14ac:dyDescent="0.2">
      <c r="B19" s="13" t="s">
        <v>14</v>
      </c>
      <c r="C19" s="76">
        <v>8</v>
      </c>
      <c r="D19" s="13" t="s">
        <v>15</v>
      </c>
      <c r="G19" s="2" t="s">
        <v>106</v>
      </c>
      <c r="H19" s="16">
        <f>H22*$C$23</f>
        <v>5.625</v>
      </c>
      <c r="I19" s="2" t="s">
        <v>56</v>
      </c>
      <c r="U19" s="10"/>
      <c r="V19" s="8"/>
      <c r="X19" s="8"/>
      <c r="Y19" s="8"/>
      <c r="Z19" s="8"/>
      <c r="AA19" s="8"/>
      <c r="AB19" s="8"/>
      <c r="AC19" s="8"/>
      <c r="AD19" s="12"/>
      <c r="AE19" s="12"/>
      <c r="AF19" s="12"/>
      <c r="AG19" s="12"/>
      <c r="AH19" s="12"/>
      <c r="AJ19" s="13"/>
      <c r="AK19" s="13"/>
    </row>
    <row r="20" spans="1:37" x14ac:dyDescent="0.2">
      <c r="B20" s="13" t="s">
        <v>244</v>
      </c>
      <c r="C20" s="80" t="s">
        <v>105</v>
      </c>
      <c r="D20" s="13" t="s">
        <v>52</v>
      </c>
      <c r="G20" s="13" t="s">
        <v>265</v>
      </c>
      <c r="H20" s="18">
        <f>IF(C18="red",VLOOKUP(($C$9-($C$21*2)),$F$38:$K$42,4),VLOOKUP(($C$9-($C$21*2)),$F$38:$K$42,3))</f>
        <v>175</v>
      </c>
      <c r="I20" s="2" t="s">
        <v>55</v>
      </c>
      <c r="U20" s="10"/>
      <c r="V20" s="8"/>
      <c r="X20" s="8"/>
      <c r="Y20" s="8"/>
      <c r="Z20" s="8"/>
      <c r="AA20" s="8"/>
      <c r="AB20" s="8"/>
      <c r="AC20" s="8"/>
      <c r="AD20" s="12"/>
      <c r="AE20" s="12"/>
      <c r="AF20" s="12"/>
      <c r="AG20" s="12"/>
      <c r="AH20" s="12"/>
      <c r="AJ20" s="13"/>
      <c r="AK20" s="13"/>
    </row>
    <row r="21" spans="1:37" x14ac:dyDescent="0.2">
      <c r="B21" s="13" t="s">
        <v>245</v>
      </c>
      <c r="C21" s="76">
        <v>1</v>
      </c>
      <c r="D21" s="13" t="s">
        <v>54</v>
      </c>
      <c r="G21" s="2" t="s">
        <v>266</v>
      </c>
      <c r="H21" s="18">
        <f>IF(C18="red",VLOOKUP(($C$9-($C$21*2)),$F$38:$K$42,6),VLOOKUP(($C$9-($C$21*2)),$F$38:$K$42,5))</f>
        <v>57.75</v>
      </c>
      <c r="I21" s="2" t="s">
        <v>55</v>
      </c>
      <c r="U21" s="10"/>
      <c r="V21" s="8"/>
      <c r="X21" s="8"/>
      <c r="Y21" s="8"/>
      <c r="Z21" s="8"/>
      <c r="AA21" s="8"/>
      <c r="AB21" s="8"/>
      <c r="AC21" s="8"/>
      <c r="AD21" s="12"/>
      <c r="AE21" s="12"/>
      <c r="AF21" s="12"/>
      <c r="AG21" s="12"/>
      <c r="AH21" s="12"/>
      <c r="AJ21" s="13"/>
      <c r="AK21" s="13"/>
    </row>
    <row r="22" spans="1:37" x14ac:dyDescent="0.2">
      <c r="B22" s="13" t="s">
        <v>246</v>
      </c>
      <c r="C22" s="76">
        <v>1</v>
      </c>
      <c r="D22" s="13" t="s">
        <v>54</v>
      </c>
      <c r="G22" s="13" t="s">
        <v>267</v>
      </c>
      <c r="H22" s="18">
        <f>IF(C31="red",VLOOKUP(($C$9-(($C$22*2)+2)),$F$38:$K$42,4),VLOOKUP(($C$9-(($C$22*2)+2)),$F$38:$K$42,3))</f>
        <v>125</v>
      </c>
      <c r="I22" s="2" t="s">
        <v>55</v>
      </c>
      <c r="U22" s="10"/>
      <c r="V22" s="8"/>
      <c r="X22" s="8"/>
      <c r="Y22" s="8"/>
      <c r="Z22" s="8"/>
      <c r="AA22" s="8"/>
      <c r="AB22" s="8"/>
      <c r="AC22" s="8"/>
      <c r="AD22" s="12"/>
      <c r="AE22" s="12"/>
      <c r="AF22" s="12"/>
      <c r="AG22" s="12"/>
      <c r="AH22" s="12"/>
      <c r="AJ22" s="13"/>
      <c r="AK22" s="13"/>
    </row>
    <row r="23" spans="1:37" x14ac:dyDescent="0.2">
      <c r="B23" s="2" t="s">
        <v>247</v>
      </c>
      <c r="C23" s="81">
        <v>4.4999999999999998E-2</v>
      </c>
      <c r="D23" s="13"/>
      <c r="G23" s="66" t="s">
        <v>215</v>
      </c>
      <c r="U23" s="10"/>
      <c r="V23" s="8"/>
      <c r="X23" s="8"/>
      <c r="Y23" s="8"/>
      <c r="Z23" s="8"/>
      <c r="AA23" s="8"/>
      <c r="AB23" s="8"/>
      <c r="AC23" s="8"/>
      <c r="AD23" s="12"/>
      <c r="AE23" s="12"/>
      <c r="AF23" s="12"/>
      <c r="AG23" s="12"/>
      <c r="AH23" s="12"/>
      <c r="AJ23" s="13"/>
      <c r="AK23" s="13"/>
    </row>
    <row r="24" spans="1:37" x14ac:dyDescent="0.2">
      <c r="B24" s="2" t="s">
        <v>278</v>
      </c>
      <c r="C24" s="78">
        <v>0.5</v>
      </c>
      <c r="D24" s="13"/>
      <c r="G24" s="2" t="s">
        <v>107</v>
      </c>
      <c r="H24" s="16">
        <f>C31*C32</f>
        <v>0</v>
      </c>
      <c r="I24" s="2" t="s">
        <v>29</v>
      </c>
      <c r="U24" s="10"/>
      <c r="V24" s="8"/>
      <c r="X24" s="8"/>
      <c r="Y24" s="8"/>
      <c r="Z24" s="8"/>
      <c r="AA24" s="8"/>
      <c r="AB24" s="8"/>
      <c r="AC24" s="8"/>
      <c r="AD24" s="12"/>
      <c r="AE24" s="12"/>
      <c r="AF24" s="12"/>
      <c r="AG24" s="12"/>
      <c r="AH24" s="12"/>
      <c r="AJ24" s="13"/>
      <c r="AK24" s="13"/>
    </row>
    <row r="25" spans="1:37" x14ac:dyDescent="0.2">
      <c r="B25" s="2" t="s">
        <v>248</v>
      </c>
      <c r="C25" s="78">
        <v>0.33</v>
      </c>
      <c r="G25" s="66" t="s">
        <v>216</v>
      </c>
      <c r="U25" s="10"/>
      <c r="V25" s="8"/>
      <c r="X25" s="8"/>
      <c r="Y25" s="8"/>
      <c r="Z25" s="8"/>
      <c r="AA25" s="8"/>
      <c r="AB25" s="8"/>
      <c r="AC25" s="8"/>
      <c r="AD25" s="12"/>
      <c r="AE25" s="12"/>
      <c r="AF25" s="12"/>
      <c r="AG25" s="12"/>
      <c r="AH25" s="12"/>
      <c r="AJ25" s="13"/>
      <c r="AK25" s="13"/>
    </row>
    <row r="26" spans="1:37" x14ac:dyDescent="0.2">
      <c r="B26" s="13" t="s">
        <v>249</v>
      </c>
      <c r="C26" s="76" t="s">
        <v>290</v>
      </c>
      <c r="G26" s="2" t="s">
        <v>188</v>
      </c>
      <c r="H26" s="64">
        <f>H30*C39</f>
        <v>2.3999999999999998E-3</v>
      </c>
      <c r="I26" s="2" t="s">
        <v>58</v>
      </c>
      <c r="U26" s="10"/>
      <c r="V26" s="8"/>
      <c r="X26" s="8"/>
      <c r="Y26" s="8"/>
      <c r="Z26" s="8"/>
      <c r="AA26" s="8"/>
      <c r="AB26" s="8"/>
      <c r="AC26" s="8"/>
      <c r="AD26" s="12"/>
      <c r="AE26" s="12"/>
      <c r="AF26" s="12"/>
      <c r="AG26" s="12"/>
      <c r="AH26" s="12"/>
      <c r="AJ26" s="13"/>
      <c r="AK26" s="13"/>
    </row>
    <row r="27" spans="1:37" x14ac:dyDescent="0.2">
      <c r="A27" s="2">
        <v>11</v>
      </c>
      <c r="B27" s="13" t="s">
        <v>250</v>
      </c>
      <c r="C27" s="76">
        <v>20</v>
      </c>
      <c r="D27" s="13" t="s">
        <v>55</v>
      </c>
      <c r="G27" s="2" t="s">
        <v>189</v>
      </c>
      <c r="H27" s="64">
        <f>H31*C39</f>
        <v>5.7599999999999991E-4</v>
      </c>
      <c r="I27" s="2" t="s">
        <v>58</v>
      </c>
      <c r="U27" s="10"/>
      <c r="V27" s="8"/>
      <c r="X27" s="8"/>
      <c r="Y27" s="8"/>
      <c r="Z27" s="8"/>
      <c r="AA27" s="8"/>
      <c r="AB27" s="8"/>
      <c r="AC27" s="8"/>
      <c r="AD27" s="12"/>
      <c r="AE27" s="12"/>
      <c r="AF27" s="12"/>
      <c r="AG27" s="12"/>
      <c r="AH27" s="12"/>
      <c r="AJ27" s="13"/>
      <c r="AK27" s="13"/>
    </row>
    <row r="28" spans="1:37" x14ac:dyDescent="0.2">
      <c r="A28" s="2">
        <v>12</v>
      </c>
      <c r="B28" s="13" t="s">
        <v>251</v>
      </c>
      <c r="C28" s="76" t="s">
        <v>229</v>
      </c>
      <c r="D28" s="13"/>
      <c r="G28" s="2" t="s">
        <v>42</v>
      </c>
      <c r="H28" s="40">
        <f>$C$37*$C$40*$C$41</f>
        <v>30</v>
      </c>
      <c r="I28" s="2" t="s">
        <v>227</v>
      </c>
      <c r="U28" s="10"/>
      <c r="V28" s="8"/>
      <c r="X28" s="8"/>
      <c r="Y28" s="8"/>
      <c r="Z28" s="8"/>
      <c r="AA28" s="8"/>
      <c r="AB28" s="8"/>
      <c r="AC28" s="8"/>
      <c r="AD28" s="12"/>
      <c r="AE28" s="12"/>
      <c r="AF28" s="12"/>
      <c r="AG28" s="12"/>
      <c r="AH28" s="12"/>
      <c r="AJ28" s="13"/>
      <c r="AK28" s="13"/>
    </row>
    <row r="29" spans="1:37" x14ac:dyDescent="0.2">
      <c r="A29" s="2">
        <v>13</v>
      </c>
      <c r="B29" s="13" t="s">
        <v>187</v>
      </c>
      <c r="C29" s="76">
        <v>150</v>
      </c>
      <c r="D29" s="13" t="s">
        <v>55</v>
      </c>
      <c r="G29" s="2" t="s">
        <v>46</v>
      </c>
      <c r="H29" s="40">
        <f>$C$38*$C$40*$C$41</f>
        <v>7.1999999999999993</v>
      </c>
      <c r="I29" s="2" t="s">
        <v>227</v>
      </c>
      <c r="U29" s="10"/>
      <c r="V29" s="8"/>
      <c r="X29" s="8"/>
      <c r="Y29" s="8"/>
      <c r="Z29" s="8"/>
      <c r="AA29" s="8"/>
      <c r="AB29" s="8"/>
      <c r="AC29" s="8"/>
      <c r="AD29" s="12"/>
      <c r="AE29" s="12"/>
      <c r="AF29" s="12"/>
      <c r="AG29" s="12"/>
      <c r="AH29" s="12"/>
      <c r="AJ29" s="13"/>
      <c r="AK29" s="13"/>
    </row>
    <row r="30" spans="1:37" x14ac:dyDescent="0.2">
      <c r="A30" s="2">
        <v>14</v>
      </c>
      <c r="B30" s="66" t="s">
        <v>215</v>
      </c>
      <c r="C30" s="85"/>
      <c r="G30" s="2" t="s">
        <v>57</v>
      </c>
      <c r="H30" s="18">
        <f>H28/$C$36</f>
        <v>0.12</v>
      </c>
      <c r="I30" s="2" t="s">
        <v>58</v>
      </c>
      <c r="U30" s="10"/>
      <c r="V30" s="8"/>
      <c r="X30" s="8"/>
      <c r="Y30" s="8"/>
      <c r="Z30" s="8"/>
      <c r="AA30" s="8"/>
      <c r="AB30" s="8"/>
      <c r="AC30" s="8"/>
      <c r="AD30" s="12"/>
      <c r="AE30" s="12"/>
      <c r="AF30" s="12"/>
      <c r="AG30" s="12"/>
      <c r="AH30" s="12"/>
      <c r="AJ30" s="13"/>
      <c r="AK30" s="13"/>
    </row>
    <row r="31" spans="1:37" x14ac:dyDescent="0.2">
      <c r="A31" s="2">
        <v>15</v>
      </c>
      <c r="B31" s="13" t="s">
        <v>252</v>
      </c>
      <c r="C31" s="82">
        <v>0.5</v>
      </c>
      <c r="D31" s="13" t="s">
        <v>29</v>
      </c>
      <c r="G31" s="2" t="s">
        <v>59</v>
      </c>
      <c r="H31" s="18">
        <f>H29/$C$36</f>
        <v>2.8799999999999996E-2</v>
      </c>
      <c r="I31" s="2" t="s">
        <v>58</v>
      </c>
      <c r="S31" s="13"/>
      <c r="T31" s="13"/>
      <c r="U31" s="12"/>
      <c r="V31" s="8"/>
      <c r="X31" s="8"/>
      <c r="Y31" s="8"/>
      <c r="Z31" s="8"/>
      <c r="AA31" s="8"/>
      <c r="AB31" s="8"/>
      <c r="AC31" s="8"/>
      <c r="AD31" s="12"/>
      <c r="AE31" s="12"/>
      <c r="AF31" s="12"/>
      <c r="AG31" s="12"/>
      <c r="AH31" s="12"/>
      <c r="AJ31" s="13"/>
      <c r="AK31" s="13"/>
    </row>
    <row r="32" spans="1:37" x14ac:dyDescent="0.2">
      <c r="A32" s="2">
        <v>16</v>
      </c>
      <c r="B32" s="13" t="s">
        <v>253</v>
      </c>
      <c r="C32" s="81">
        <v>0</v>
      </c>
      <c r="D32" s="13"/>
      <c r="G32" s="2" t="s">
        <v>233</v>
      </c>
      <c r="H32" s="40">
        <f>H30-H31</f>
        <v>9.1200000000000003E-2</v>
      </c>
      <c r="I32" s="2" t="s">
        <v>58</v>
      </c>
      <c r="S32" s="13"/>
      <c r="T32" s="13"/>
      <c r="U32" s="12"/>
      <c r="V32" s="8"/>
      <c r="X32" s="8"/>
      <c r="Y32" s="8"/>
      <c r="Z32" s="8"/>
      <c r="AA32" s="8"/>
      <c r="AB32" s="8"/>
      <c r="AC32" s="8"/>
      <c r="AD32" s="12"/>
      <c r="AE32" s="12"/>
      <c r="AF32" s="12"/>
      <c r="AG32" s="12"/>
      <c r="AH32" s="12"/>
      <c r="AJ32" s="13"/>
      <c r="AK32" s="13"/>
    </row>
    <row r="33" spans="1:37" x14ac:dyDescent="0.2">
      <c r="A33" s="2">
        <v>17</v>
      </c>
      <c r="B33" s="13" t="s">
        <v>111</v>
      </c>
      <c r="C33" s="76">
        <v>10</v>
      </c>
      <c r="D33" s="13" t="s">
        <v>12</v>
      </c>
      <c r="S33" s="13"/>
      <c r="T33" s="13"/>
      <c r="U33" s="12"/>
      <c r="V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J33" s="13"/>
      <c r="AK33" s="13"/>
    </row>
    <row r="34" spans="1:37" x14ac:dyDescent="0.2">
      <c r="A34" s="2">
        <v>18</v>
      </c>
      <c r="B34" s="13" t="s">
        <v>31</v>
      </c>
      <c r="C34" s="83">
        <v>18</v>
      </c>
      <c r="D34" s="13" t="s">
        <v>12</v>
      </c>
      <c r="G34" s="3" t="s">
        <v>235</v>
      </c>
      <c r="S34" s="13"/>
      <c r="T34" s="13"/>
      <c r="U34" s="13"/>
      <c r="V34" s="13"/>
      <c r="AJ34" s="13"/>
      <c r="AK34" s="13"/>
    </row>
    <row r="35" spans="1:37" x14ac:dyDescent="0.2">
      <c r="A35" s="2">
        <v>19</v>
      </c>
      <c r="B35" s="66" t="s">
        <v>216</v>
      </c>
      <c r="C35" s="85"/>
      <c r="G35" s="21" t="s">
        <v>268</v>
      </c>
      <c r="K35" s="13"/>
      <c r="N35" s="3"/>
      <c r="S35" s="13"/>
      <c r="T35" s="13"/>
      <c r="U35" s="13"/>
      <c r="V35" s="13"/>
      <c r="AJ35" s="13"/>
      <c r="AK35" s="13"/>
    </row>
    <row r="36" spans="1:37" x14ac:dyDescent="0.2">
      <c r="A36" s="2">
        <v>20</v>
      </c>
      <c r="B36" s="13" t="s">
        <v>38</v>
      </c>
      <c r="C36" s="76">
        <v>250</v>
      </c>
      <c r="D36" s="13" t="s">
        <v>39</v>
      </c>
      <c r="F36" s="1"/>
      <c r="G36" s="1"/>
      <c r="H36" s="22" t="s">
        <v>1</v>
      </c>
      <c r="I36" s="1" t="s">
        <v>1</v>
      </c>
      <c r="J36" s="1" t="s">
        <v>2</v>
      </c>
      <c r="K36" s="1" t="s">
        <v>3</v>
      </c>
      <c r="N36" s="3"/>
      <c r="S36" s="13"/>
      <c r="T36" s="13"/>
      <c r="U36" s="13"/>
      <c r="V36" s="13"/>
      <c r="AJ36" s="13"/>
      <c r="AK36" s="13"/>
    </row>
    <row r="37" spans="1:37" ht="13.5" customHeight="1" thickBot="1" x14ac:dyDescent="0.25">
      <c r="A37" s="2">
        <v>21</v>
      </c>
      <c r="B37" s="13" t="s">
        <v>190</v>
      </c>
      <c r="C37" s="82">
        <v>1000</v>
      </c>
      <c r="D37" s="13" t="s">
        <v>43</v>
      </c>
      <c r="F37" s="67" t="s">
        <v>8</v>
      </c>
      <c r="G37" s="23" t="s">
        <v>7</v>
      </c>
      <c r="H37" s="24" t="s">
        <v>9</v>
      </c>
      <c r="I37" s="23" t="s">
        <v>10</v>
      </c>
      <c r="J37" s="23" t="s">
        <v>9</v>
      </c>
      <c r="K37" s="23" t="s">
        <v>10</v>
      </c>
      <c r="N37" s="15"/>
      <c r="O37" s="15"/>
      <c r="P37" s="15"/>
      <c r="Q37" s="15"/>
      <c r="R37" s="15"/>
      <c r="S37" s="12"/>
      <c r="T37" s="12"/>
      <c r="U37" s="13"/>
      <c r="V37" s="13"/>
      <c r="W37" s="15"/>
      <c r="AJ37" s="13"/>
      <c r="AK37" s="13"/>
    </row>
    <row r="38" spans="1:37" x14ac:dyDescent="0.2">
      <c r="A38" s="2">
        <v>22</v>
      </c>
      <c r="B38" s="13" t="s">
        <v>213</v>
      </c>
      <c r="C38" s="82">
        <v>240</v>
      </c>
      <c r="D38" s="13" t="s">
        <v>43</v>
      </c>
      <c r="F38" s="68">
        <v>0</v>
      </c>
      <c r="G38" s="1" t="s">
        <v>13</v>
      </c>
      <c r="H38" s="25">
        <f>$C$27</f>
        <v>20</v>
      </c>
      <c r="I38" s="25">
        <f>$C$27</f>
        <v>20</v>
      </c>
      <c r="J38" s="25">
        <f>$C$27</f>
        <v>20</v>
      </c>
      <c r="K38" s="25">
        <f>$C$27</f>
        <v>20</v>
      </c>
      <c r="N38" s="8"/>
      <c r="O38" s="8"/>
      <c r="P38" s="8"/>
      <c r="Q38" s="8"/>
      <c r="R38" s="8"/>
      <c r="S38" s="8"/>
      <c r="T38" s="8"/>
      <c r="U38" s="13"/>
      <c r="V38" s="13"/>
      <c r="W38" s="8"/>
      <c r="AJ38" s="13"/>
      <c r="AK38" s="13"/>
    </row>
    <row r="39" spans="1:37" x14ac:dyDescent="0.2">
      <c r="A39" s="2">
        <v>23</v>
      </c>
      <c r="B39" s="13" t="s">
        <v>254</v>
      </c>
      <c r="C39" s="77">
        <v>0.02</v>
      </c>
      <c r="F39" s="68">
        <v>10</v>
      </c>
      <c r="G39" s="1" t="s">
        <v>16</v>
      </c>
      <c r="H39" s="25">
        <f>IF($C$28="contract",$C$53-$C$29,$C$53*$C$24)</f>
        <v>125</v>
      </c>
      <c r="I39" s="25">
        <f>IF($C$28="contract",$D$53-$C$29,$D$53*$C$24)</f>
        <v>80</v>
      </c>
      <c r="J39" s="26">
        <f>IF($C$26="cordwood",$C$27,IF($C$28="contract",(($C$53*$C$25)-$C$29),($C$53*$C$24*$C$25)))</f>
        <v>41.25</v>
      </c>
      <c r="K39" s="26">
        <f>IF($C$26="cordwood",$C$27,IF($C$28="contract",(($D$53*$C$25)-$C$29),($D$53*$C$24*$C$25)))</f>
        <v>26.400000000000002</v>
      </c>
      <c r="N39" s="8"/>
      <c r="O39" s="8"/>
      <c r="P39" s="8"/>
      <c r="Q39" s="8"/>
      <c r="R39" s="8"/>
      <c r="S39" s="8"/>
      <c r="T39" s="8"/>
      <c r="U39" s="13"/>
      <c r="V39" s="13"/>
      <c r="W39" s="8"/>
      <c r="AJ39" s="13"/>
      <c r="AK39" s="13"/>
    </row>
    <row r="40" spans="1:37" x14ac:dyDescent="0.2">
      <c r="A40" s="2">
        <v>24</v>
      </c>
      <c r="B40" s="13" t="s">
        <v>255</v>
      </c>
      <c r="C40" s="77">
        <v>1</v>
      </c>
      <c r="F40" s="68">
        <v>12</v>
      </c>
      <c r="G40" s="1" t="s">
        <v>19</v>
      </c>
      <c r="H40" s="25">
        <f>IF($C$28="contract",$C$54-$C$29,$C$54*$C$24)</f>
        <v>175</v>
      </c>
      <c r="I40" s="25">
        <f>IF($C$28="contract",$D$54-$C$29,$D$54*$C$24)</f>
        <v>80</v>
      </c>
      <c r="J40" s="26">
        <f>IF($C$26="cordwood",$C$27,IF($C$28="contract",(($C$54*$C$25)-$C$29),($C$54*$C$24*$C$25)))</f>
        <v>57.75</v>
      </c>
      <c r="K40" s="26">
        <f>IF($C$26="cordwood",$C$27,IF($C$28="contract",(($D$54*$C$25)-$C$29),($D$54*$C$24*$C$25)))</f>
        <v>26.400000000000002</v>
      </c>
      <c r="N40" s="8"/>
      <c r="O40" s="8"/>
      <c r="P40" s="8"/>
      <c r="Q40" s="8"/>
      <c r="R40" s="8"/>
      <c r="S40" s="8"/>
      <c r="T40" s="8"/>
      <c r="U40" s="13"/>
      <c r="V40" s="13"/>
      <c r="W40" s="8"/>
      <c r="AJ40" s="13"/>
      <c r="AK40" s="13"/>
    </row>
    <row r="41" spans="1:37" x14ac:dyDescent="0.2">
      <c r="A41" s="2">
        <v>25</v>
      </c>
      <c r="B41" s="13" t="s">
        <v>256</v>
      </c>
      <c r="C41" s="77">
        <v>0.03</v>
      </c>
      <c r="F41" s="68">
        <v>14</v>
      </c>
      <c r="G41" s="1" t="s">
        <v>22</v>
      </c>
      <c r="H41" s="25">
        <f>IF($C$26="veneer",AVERAGE($C$62:$C$64)*$C$24,IF($C$28="contract",$C$55-$C$29,$C$55*$C$24))</f>
        <v>225</v>
      </c>
      <c r="I41" s="25">
        <f>IF($C$28="contract",$D$55-$C$29,$D$55*$C$24)</f>
        <v>125</v>
      </c>
      <c r="J41" s="26">
        <f>IF($C$26="cordwood",$C$27,IF($C$28="contract",(($C$55*$C$25)-$C$29),($C$55*$C$24*$C$25)))</f>
        <v>74.25</v>
      </c>
      <c r="K41" s="26">
        <f>IF($C$26="cordwood",$C$27,IF($C$28="contract",(($D$55*$C$25)-$C$29),($D$55*$C$24*$C$25)))</f>
        <v>41.25</v>
      </c>
      <c r="N41" s="8"/>
      <c r="O41" s="8"/>
      <c r="P41" s="8"/>
      <c r="Q41" s="8"/>
      <c r="R41" s="8"/>
      <c r="S41" s="8"/>
      <c r="T41" s="8"/>
      <c r="U41" s="13"/>
      <c r="V41" s="13"/>
      <c r="W41" s="8"/>
      <c r="AJ41" s="13"/>
      <c r="AK41" s="27"/>
    </row>
    <row r="42" spans="1:37" x14ac:dyDescent="0.2">
      <c r="A42" s="2">
        <v>26</v>
      </c>
      <c r="B42" s="66" t="s">
        <v>217</v>
      </c>
      <c r="C42" s="85"/>
      <c r="F42" s="68">
        <v>16</v>
      </c>
      <c r="G42" s="1" t="s">
        <v>23</v>
      </c>
      <c r="H42" s="25">
        <f>IF($C$26="veneer",AVERAGE($C$65:$C$66)*$C$24,IF($C$28="contract",$C$56-$C$29,$C$56*$C$24))</f>
        <v>300</v>
      </c>
      <c r="I42" s="25">
        <f>IF($C$28="contract",$D$56-$C$29,$D$56*$C$24)</f>
        <v>150</v>
      </c>
      <c r="J42" s="26">
        <f>IF($C$26="cordwood",$C$27,IF($C$28="contract",(($C$56*$C$25)-$C$29),($C$56*$C$24*$C$25)))</f>
        <v>99</v>
      </c>
      <c r="K42" s="26">
        <f>IF($C$26="cordwood",$C$27,IF($C$28="contract",(($D$56*$C$25)-$C$29),($D$56*$C$24*$C$25)))</f>
        <v>49.5</v>
      </c>
      <c r="N42" s="8"/>
      <c r="O42" s="8"/>
      <c r="P42" s="8"/>
      <c r="Q42" s="8"/>
      <c r="R42" s="8"/>
      <c r="S42" s="8"/>
      <c r="T42" s="8"/>
      <c r="U42" s="13"/>
      <c r="V42" s="13"/>
      <c r="W42" s="8"/>
      <c r="AJ42" s="13"/>
      <c r="AK42" s="13"/>
    </row>
    <row r="43" spans="1:37" x14ac:dyDescent="0.2">
      <c r="A43" s="2">
        <v>27</v>
      </c>
      <c r="B43" s="13" t="s">
        <v>49</v>
      </c>
      <c r="C43" s="80">
        <v>10</v>
      </c>
      <c r="D43" s="13" t="s">
        <v>50</v>
      </c>
      <c r="N43" s="8"/>
      <c r="O43" s="8"/>
      <c r="P43" s="8"/>
      <c r="Q43" s="8"/>
      <c r="R43" s="8"/>
      <c r="S43" s="8"/>
      <c r="T43" s="8"/>
      <c r="U43" s="13"/>
      <c r="V43" s="13"/>
      <c r="W43" s="8"/>
      <c r="AJ43" s="13"/>
      <c r="AK43" s="13"/>
    </row>
    <row r="44" spans="1:37" x14ac:dyDescent="0.2">
      <c r="B44" s="13" t="s">
        <v>34</v>
      </c>
      <c r="C44" s="84">
        <v>0.04</v>
      </c>
      <c r="D44" s="13" t="s">
        <v>35</v>
      </c>
      <c r="G44" s="3" t="s">
        <v>236</v>
      </c>
      <c r="N44" s="8"/>
      <c r="O44" s="8"/>
      <c r="P44" s="8"/>
      <c r="Q44" s="8"/>
      <c r="R44" s="8"/>
      <c r="S44" s="8"/>
      <c r="T44" s="8"/>
      <c r="U44" s="13"/>
      <c r="V44" s="13"/>
      <c r="W44" s="8"/>
      <c r="AJ44" s="13"/>
      <c r="AK44" s="13"/>
    </row>
    <row r="45" spans="1:37" x14ac:dyDescent="0.2">
      <c r="B45" s="13" t="s">
        <v>257</v>
      </c>
      <c r="C45" s="77">
        <v>0.15</v>
      </c>
      <c r="D45" s="13"/>
      <c r="G45" s="21" t="s">
        <v>268</v>
      </c>
      <c r="K45" s="13"/>
      <c r="N45" s="8"/>
      <c r="O45" s="8"/>
      <c r="P45" s="8"/>
      <c r="Q45" s="8"/>
      <c r="R45" s="8"/>
      <c r="S45" s="8"/>
      <c r="T45" s="8"/>
      <c r="U45" s="13"/>
      <c r="V45" s="13"/>
      <c r="W45" s="8"/>
      <c r="AJ45" s="13"/>
      <c r="AK45" s="13"/>
    </row>
    <row r="46" spans="1:37" x14ac:dyDescent="0.2">
      <c r="B46" s="13" t="s">
        <v>258</v>
      </c>
      <c r="C46" s="77">
        <v>0.15</v>
      </c>
      <c r="D46" s="13"/>
      <c r="G46" s="1"/>
      <c r="H46" s="22" t="s">
        <v>1</v>
      </c>
      <c r="I46" s="1" t="s">
        <v>1</v>
      </c>
      <c r="J46" s="1" t="s">
        <v>2</v>
      </c>
      <c r="K46" s="1" t="s">
        <v>3</v>
      </c>
      <c r="N46" s="8"/>
      <c r="O46" s="8"/>
      <c r="P46" s="8"/>
      <c r="Q46" s="8"/>
      <c r="R46" s="8"/>
      <c r="S46" s="8"/>
      <c r="T46" s="8"/>
      <c r="U46" s="13"/>
      <c r="V46" s="13"/>
      <c r="W46" s="8"/>
      <c r="AJ46" s="13"/>
      <c r="AK46" s="13"/>
    </row>
    <row r="47" spans="1:37" ht="13.5" thickBot="1" x14ac:dyDescent="0.25">
      <c r="E47" s="21"/>
      <c r="G47" s="23" t="s">
        <v>7</v>
      </c>
      <c r="H47" s="24" t="s">
        <v>9</v>
      </c>
      <c r="I47" s="23" t="s">
        <v>10</v>
      </c>
      <c r="J47" s="23" t="s">
        <v>9</v>
      </c>
      <c r="K47" s="23" t="s">
        <v>10</v>
      </c>
      <c r="N47" s="8"/>
      <c r="O47" s="8"/>
      <c r="P47" s="8"/>
      <c r="Q47" s="8"/>
      <c r="R47" s="8"/>
      <c r="S47" s="8"/>
      <c r="T47" s="8"/>
      <c r="U47" s="13"/>
      <c r="V47" s="13"/>
      <c r="W47" s="8"/>
      <c r="AJ47" s="13"/>
      <c r="AK47" s="13"/>
    </row>
    <row r="48" spans="1:37" x14ac:dyDescent="0.2">
      <c r="A48" s="1"/>
      <c r="B48" s="3" t="s">
        <v>176</v>
      </c>
      <c r="E48" s="8"/>
      <c r="G48" s="1" t="s">
        <v>13</v>
      </c>
      <c r="H48" s="25">
        <f>$C$27</f>
        <v>20</v>
      </c>
      <c r="I48" s="25">
        <f>$C$27</f>
        <v>20</v>
      </c>
      <c r="J48" s="25">
        <f>$C$27</f>
        <v>20</v>
      </c>
      <c r="K48" s="25">
        <f>$C$27</f>
        <v>20</v>
      </c>
      <c r="N48" s="8"/>
      <c r="O48" s="8"/>
      <c r="P48" s="8"/>
      <c r="Q48" s="8"/>
      <c r="R48" s="8"/>
      <c r="S48" s="8"/>
      <c r="T48" s="8"/>
      <c r="U48" s="13"/>
      <c r="V48" s="13"/>
      <c r="W48" s="8"/>
      <c r="AJ48" s="13"/>
      <c r="AK48" s="13"/>
    </row>
    <row r="49" spans="1:37" ht="13.5" thickBot="1" x14ac:dyDescent="0.25">
      <c r="A49" s="23" t="s">
        <v>8</v>
      </c>
      <c r="B49" s="21" t="s">
        <v>177</v>
      </c>
      <c r="C49" s="21"/>
      <c r="D49" s="21"/>
      <c r="E49" s="8"/>
      <c r="G49" s="1" t="s">
        <v>16</v>
      </c>
      <c r="H49" s="25">
        <f>IF($C$28="contract",$C$53-$C$29,$C$53*$C$24)</f>
        <v>125</v>
      </c>
      <c r="I49" s="25">
        <f>IF($C$28="contract",$D$53-$C$29,$D$53*$C$24)</f>
        <v>80</v>
      </c>
      <c r="J49" s="26">
        <f>IF($C$26="cordwood",$C$27,IF($C$28="contract",(($C$53*$C$25)-$C$29),($C$53*$C$24*$C$25)))</f>
        <v>41.25</v>
      </c>
      <c r="K49" s="26">
        <f>IF($C$26="cordwood",$C$27,IF($C$28="contract",(($D$53*$C$25)-$C$29),($D$53*$C$24*$C$25)))</f>
        <v>26.400000000000002</v>
      </c>
      <c r="N49" s="8"/>
      <c r="O49" s="8"/>
      <c r="P49" s="8"/>
      <c r="Q49" s="8"/>
      <c r="R49" s="8"/>
      <c r="S49" s="8"/>
      <c r="T49" s="8"/>
      <c r="U49" s="13"/>
      <c r="V49" s="13"/>
      <c r="W49" s="8"/>
      <c r="AJ49" s="13"/>
      <c r="AK49" s="13"/>
    </row>
    <row r="50" spans="1:37" x14ac:dyDescent="0.2">
      <c r="A50" s="1">
        <v>0</v>
      </c>
      <c r="B50" s="1"/>
      <c r="C50" s="22" t="s">
        <v>1</v>
      </c>
      <c r="D50" s="1" t="s">
        <v>1</v>
      </c>
      <c r="E50" s="8"/>
      <c r="G50" s="1" t="s">
        <v>19</v>
      </c>
      <c r="H50" s="25">
        <f>IF($C$28="contract",$C$54-$C$29,$C$54*$C$24)</f>
        <v>175</v>
      </c>
      <c r="I50" s="25">
        <f>IF($C$28="contract",$D$54-$C$29,$D$54*$C$24)</f>
        <v>80</v>
      </c>
      <c r="J50" s="26">
        <f>IF($C$26="cordwood",$C$27,IF($C$28="contract",(($C$54*$C$25)-$C$29),($C$54*$C$24*$C$25)))</f>
        <v>57.75</v>
      </c>
      <c r="K50" s="26">
        <f>IF($C$26="cordwood",$C$27,IF($C$28="contract",(($D$54*$C$25)-$C$29),($D$54*$C$24*$C$25)))</f>
        <v>26.400000000000002</v>
      </c>
      <c r="N50" s="8"/>
      <c r="O50" s="8"/>
      <c r="P50" s="8"/>
      <c r="Q50" s="8"/>
      <c r="R50" s="8"/>
      <c r="S50" s="8"/>
      <c r="T50" s="8"/>
      <c r="U50" s="13"/>
      <c r="V50" s="13"/>
      <c r="W50" s="8"/>
      <c r="AJ50" s="13"/>
      <c r="AK50" s="13"/>
    </row>
    <row r="51" spans="1:37" ht="13.5" thickBot="1" x14ac:dyDescent="0.25">
      <c r="A51" s="1">
        <v>10</v>
      </c>
      <c r="B51" s="23" t="s">
        <v>7</v>
      </c>
      <c r="C51" s="24" t="s">
        <v>9</v>
      </c>
      <c r="D51" s="23" t="s">
        <v>10</v>
      </c>
      <c r="E51" s="8"/>
      <c r="G51" s="1" t="s">
        <v>22</v>
      </c>
      <c r="H51" s="25">
        <f>IF($C$28="contract",$C$55-$C$29,$C$55*$C$24)</f>
        <v>225</v>
      </c>
      <c r="I51" s="25">
        <f>IF($C$28="contract",$D$55-$C$29,$D$55*$C$24)</f>
        <v>125</v>
      </c>
      <c r="J51" s="26">
        <f>IF($C$26="cordwood",$C$27,IF($C$28="contract",(($C$55*$C$25)-$C$29),($C$55*$C$24*$C$25)))</f>
        <v>74.25</v>
      </c>
      <c r="K51" s="26">
        <f>IF($C$26="cordwood",$C$27,IF($C$28="contract",(($D$55*$C$25)-$C$29),($D$55*$C$24*$C$25)))</f>
        <v>41.25</v>
      </c>
      <c r="N51" s="8"/>
      <c r="O51" s="8"/>
      <c r="P51" s="8"/>
      <c r="Q51" s="8"/>
      <c r="R51" s="8"/>
      <c r="S51" s="8"/>
      <c r="T51" s="8"/>
      <c r="U51" s="13"/>
      <c r="V51" s="13"/>
      <c r="W51" s="8"/>
      <c r="AJ51" s="13"/>
      <c r="AK51" s="13"/>
    </row>
    <row r="52" spans="1:37" x14ac:dyDescent="0.2">
      <c r="A52" s="1">
        <v>12</v>
      </c>
      <c r="B52" s="1" t="s">
        <v>13</v>
      </c>
      <c r="C52" s="86">
        <v>80</v>
      </c>
      <c r="D52" s="87">
        <v>80</v>
      </c>
      <c r="E52" s="8"/>
      <c r="G52" s="1" t="s">
        <v>23</v>
      </c>
      <c r="H52" s="25">
        <f>IF($C$28="contract",$C$56-$C$29,$C$56*$C$24)</f>
        <v>300</v>
      </c>
      <c r="I52" s="25">
        <f>IF($C$28="contract",$D$56-$C$29,$D$56*$C$24)</f>
        <v>150</v>
      </c>
      <c r="J52" s="26">
        <f>IF($C$26="cordwood",$C$27,IF($C$28="contract",(($C$56*$C$25)-$C$29),($C$56*$C$24*$C$25)))</f>
        <v>99</v>
      </c>
      <c r="K52" s="26">
        <f>IF($C$26="cordwood",$C$27,IF($C$28="contract",(($D$56*$C$25)-$C$29),($D$56*$C$24*$C$25)))</f>
        <v>49.5</v>
      </c>
      <c r="N52" s="8"/>
      <c r="O52" s="8"/>
      <c r="P52" s="8"/>
      <c r="Q52" s="8"/>
      <c r="R52" s="8"/>
      <c r="S52" s="8"/>
      <c r="T52" s="8"/>
      <c r="U52" s="13"/>
      <c r="V52" s="13"/>
      <c r="W52" s="8"/>
      <c r="AJ52" s="13"/>
      <c r="AK52" s="13"/>
    </row>
    <row r="53" spans="1:37" x14ac:dyDescent="0.2">
      <c r="A53" s="1">
        <v>14</v>
      </c>
      <c r="B53" s="1" t="s">
        <v>16</v>
      </c>
      <c r="C53" s="86">
        <v>250</v>
      </c>
      <c r="D53" s="87">
        <v>160</v>
      </c>
      <c r="E53" s="8"/>
      <c r="N53" s="8"/>
      <c r="O53" s="8"/>
      <c r="P53" s="8"/>
      <c r="Q53" s="8"/>
      <c r="R53" s="8"/>
      <c r="S53" s="8"/>
      <c r="T53" s="8"/>
      <c r="U53" s="13"/>
      <c r="V53" s="13"/>
      <c r="W53" s="8"/>
      <c r="AJ53" s="13"/>
      <c r="AK53" s="13"/>
    </row>
    <row r="54" spans="1:37" x14ac:dyDescent="0.2">
      <c r="A54" s="1">
        <v>16</v>
      </c>
      <c r="B54" s="1" t="s">
        <v>19</v>
      </c>
      <c r="C54" s="86">
        <v>350</v>
      </c>
      <c r="D54" s="87">
        <v>160</v>
      </c>
      <c r="E54" s="8"/>
      <c r="G54" s="29" t="s">
        <v>223</v>
      </c>
      <c r="L54" s="13"/>
      <c r="N54" s="8"/>
      <c r="O54" s="8"/>
      <c r="P54" s="8"/>
      <c r="Q54" s="8"/>
      <c r="R54" s="8"/>
      <c r="S54" s="8"/>
      <c r="T54" s="8"/>
      <c r="U54" s="13"/>
      <c r="V54" s="13"/>
      <c r="W54" s="8"/>
      <c r="AJ54" s="13"/>
      <c r="AK54" s="13"/>
    </row>
    <row r="55" spans="1:37" x14ac:dyDescent="0.2">
      <c r="B55" s="1" t="s">
        <v>22</v>
      </c>
      <c r="C55" s="86">
        <v>450</v>
      </c>
      <c r="D55" s="87">
        <v>250</v>
      </c>
      <c r="F55" s="13"/>
      <c r="G55" s="21" t="s">
        <v>182</v>
      </c>
      <c r="H55" s="13"/>
      <c r="I55" s="13"/>
      <c r="J55" s="13"/>
      <c r="N55" s="8"/>
      <c r="O55" s="8"/>
      <c r="P55" s="8"/>
      <c r="Q55" s="8"/>
      <c r="R55" s="8"/>
      <c r="S55" s="8"/>
      <c r="T55" s="8"/>
      <c r="U55" s="13"/>
      <c r="V55" s="13"/>
      <c r="W55" s="8"/>
      <c r="AJ55" s="13"/>
      <c r="AK55" s="13"/>
    </row>
    <row r="56" spans="1:37" x14ac:dyDescent="0.2">
      <c r="B56" s="1" t="s">
        <v>23</v>
      </c>
      <c r="C56" s="86">
        <v>600</v>
      </c>
      <c r="D56" s="87">
        <v>300</v>
      </c>
      <c r="F56" s="8"/>
      <c r="G56" s="13" t="s">
        <v>27</v>
      </c>
      <c r="H56" s="13"/>
      <c r="J56" s="19">
        <f>IF(D27="Scribner",X127,IF(D27="Doyle",X78,X177))</f>
        <v>16.037956824999998</v>
      </c>
      <c r="K56" s="13" t="s">
        <v>28</v>
      </c>
      <c r="N56" s="8"/>
      <c r="O56" s="8"/>
      <c r="P56" s="8"/>
      <c r="Q56" s="8"/>
      <c r="R56" s="8"/>
      <c r="S56" s="8"/>
      <c r="T56" s="8"/>
      <c r="U56" s="13"/>
      <c r="V56" s="13"/>
      <c r="W56" s="8"/>
      <c r="AJ56" s="13"/>
      <c r="AK56" s="13"/>
    </row>
    <row r="57" spans="1:37" x14ac:dyDescent="0.2">
      <c r="A57" s="21"/>
      <c r="E57" s="12"/>
      <c r="F57" s="8"/>
      <c r="G57" s="13" t="s">
        <v>30</v>
      </c>
      <c r="H57" s="13"/>
      <c r="J57" s="19">
        <f>IF($C$20="Scribner",VLOOKUP($C$43,$B$128:$AK$167,23),IF($C$20="Doyle",VLOOKUP($C$43,$B$79:$AK$118,23),VLOOKUP($C$43,$B$178:$AK$217,23)))</f>
        <v>19.673384878635357</v>
      </c>
      <c r="K57" s="13" t="s">
        <v>28</v>
      </c>
      <c r="N57" s="8"/>
      <c r="O57" s="8"/>
      <c r="P57" s="8"/>
      <c r="Q57" s="8"/>
      <c r="R57" s="8"/>
      <c r="S57" s="8"/>
      <c r="T57" s="8"/>
      <c r="U57" s="13"/>
      <c r="V57" s="13"/>
      <c r="W57" s="8"/>
      <c r="AJ57" s="13"/>
      <c r="AK57" s="13"/>
    </row>
    <row r="58" spans="1:37" x14ac:dyDescent="0.2">
      <c r="A58" s="1"/>
      <c r="B58" s="3" t="s">
        <v>175</v>
      </c>
      <c r="E58" s="8"/>
      <c r="F58" s="8"/>
      <c r="G58" s="13" t="s">
        <v>212</v>
      </c>
      <c r="H58" s="13"/>
      <c r="J58" s="19">
        <f>IF($C$20="Scribner",VLOOKUP($C$43,$B$128:$AK$167,30),IF($C$20="Doyle",VLOOKUP($C$43,$B$79:$AK$118,30),VLOOKUP($C$43,$B$178:$AK$217,30)))</f>
        <v>-1.0968076485479625</v>
      </c>
      <c r="K58" s="13" t="s">
        <v>28</v>
      </c>
      <c r="N58" s="8"/>
      <c r="O58" s="8"/>
      <c r="P58" s="8"/>
      <c r="Q58" s="8"/>
      <c r="R58" s="8"/>
      <c r="S58" s="8"/>
      <c r="T58" s="8"/>
      <c r="U58" s="13"/>
      <c r="V58" s="13"/>
      <c r="W58" s="8"/>
      <c r="AJ58" s="13"/>
      <c r="AK58" s="13"/>
    </row>
    <row r="59" spans="1:37" ht="13.5" thickBot="1" x14ac:dyDescent="0.25">
      <c r="A59" s="23" t="s">
        <v>8</v>
      </c>
      <c r="B59" s="21" t="s">
        <v>178</v>
      </c>
      <c r="C59" s="21"/>
      <c r="D59" s="15"/>
      <c r="E59" s="8"/>
      <c r="F59" s="8"/>
      <c r="G59" s="13" t="s">
        <v>32</v>
      </c>
      <c r="H59" s="13"/>
      <c r="J59" s="19">
        <f>IF($C$20="Scribner",VLOOKUP($C$43,$B$128:$AK$167,32),IF($C$20="Doyle",VLOOKUP($C$43,$B$79:$AK$118,32),VLOOKUP($C$43,$B$178:$AK$217,32)))</f>
        <v>-0.26323383565151104</v>
      </c>
      <c r="K59" s="13" t="s">
        <v>28</v>
      </c>
      <c r="N59" s="8"/>
      <c r="O59" s="8"/>
      <c r="P59" s="8"/>
      <c r="Q59" s="8"/>
      <c r="R59" s="8"/>
      <c r="S59" s="8"/>
      <c r="T59" s="8"/>
      <c r="U59" s="13"/>
      <c r="V59" s="13"/>
      <c r="W59" s="8"/>
      <c r="AJ59" s="13"/>
      <c r="AK59" s="13"/>
    </row>
    <row r="60" spans="1:37" x14ac:dyDescent="0.2">
      <c r="A60" s="1">
        <v>14</v>
      </c>
      <c r="B60" s="1"/>
      <c r="C60" s="22" t="s">
        <v>1</v>
      </c>
      <c r="D60" s="8"/>
      <c r="E60" s="8"/>
      <c r="F60" s="8"/>
      <c r="G60" s="13" t="s">
        <v>36</v>
      </c>
      <c r="H60" s="13"/>
      <c r="J60" s="19">
        <f>IF($C$20="Scribner",VLOOKUP($C$43,$B$128:$AK$167,28),IF($C$20="Doyle",VLOOKUP($C$43,$B$79:$AK$118,28),VLOOKUP($C$43,$B$178:$AK$217,28)))</f>
        <v>3.5850159344749213</v>
      </c>
      <c r="K60" s="13" t="s">
        <v>28</v>
      </c>
      <c r="N60" s="8"/>
      <c r="O60" s="8"/>
      <c r="P60" s="8"/>
      <c r="Q60" s="8"/>
      <c r="R60" s="8"/>
      <c r="S60" s="8"/>
      <c r="T60" s="8"/>
      <c r="U60" s="13"/>
      <c r="V60" s="13"/>
      <c r="W60" s="8"/>
      <c r="AJ60" s="13"/>
      <c r="AK60" s="13"/>
    </row>
    <row r="61" spans="1:37" ht="13.5" thickBot="1" x14ac:dyDescent="0.25">
      <c r="A61" s="1">
        <v>15</v>
      </c>
      <c r="B61" s="23" t="s">
        <v>7</v>
      </c>
      <c r="C61" s="24" t="s">
        <v>9</v>
      </c>
      <c r="D61" s="8"/>
      <c r="E61" s="8"/>
      <c r="F61" s="8"/>
      <c r="G61" s="13" t="s">
        <v>40</v>
      </c>
      <c r="H61" s="13"/>
      <c r="J61" s="19">
        <f>IF($C$20="Scribner",VLOOKUP($C$43,$B$128:$AK$167,24),IF($C$20="Doyle",VLOOKUP($C$43,$B$79:$AK$118,24),VLOOKUP($C$43,$B$178:$AK$217,24)))</f>
        <v>16.002655512663608</v>
      </c>
      <c r="K61" s="13" t="s">
        <v>28</v>
      </c>
      <c r="N61" s="8"/>
      <c r="O61" s="8"/>
      <c r="P61" s="8"/>
      <c r="Q61" s="8"/>
      <c r="R61" s="8"/>
      <c r="S61" s="8"/>
      <c r="T61" s="8"/>
      <c r="U61" s="13"/>
      <c r="V61" s="13"/>
      <c r="W61" s="8"/>
      <c r="AJ61" s="13"/>
      <c r="AK61" s="13"/>
    </row>
    <row r="62" spans="1:37" x14ac:dyDescent="0.2">
      <c r="A62" s="1"/>
      <c r="B62" s="1" t="s">
        <v>33</v>
      </c>
      <c r="C62" s="86">
        <v>3100</v>
      </c>
      <c r="D62" s="8"/>
      <c r="E62" s="8"/>
      <c r="F62" s="8"/>
      <c r="G62" s="13" t="s">
        <v>208</v>
      </c>
      <c r="J62" s="19">
        <f>IF($C$20="Scribner",VLOOKUP($C$43,$B$128:$AO$167,39),IF($C$20="Doyle",VLOOKUP($C$43,$B$79:$AO$118,39),VLOOKUP($C$43,$B$178:$AO$217,39)))</f>
        <v>15.917956824999999</v>
      </c>
      <c r="N62" s="8"/>
      <c r="O62" s="8"/>
      <c r="P62" s="8"/>
      <c r="Q62" s="8"/>
      <c r="R62" s="8"/>
      <c r="S62" s="8"/>
      <c r="T62" s="8"/>
      <c r="U62" s="13"/>
      <c r="V62" s="13"/>
      <c r="W62" s="8"/>
      <c r="AJ62" s="13"/>
      <c r="AK62" s="13"/>
    </row>
    <row r="63" spans="1:37" x14ac:dyDescent="0.2">
      <c r="A63" s="1"/>
      <c r="B63" s="1" t="s">
        <v>37</v>
      </c>
      <c r="C63" s="86">
        <v>3600</v>
      </c>
      <c r="D63" s="8"/>
      <c r="E63" s="8"/>
      <c r="G63" s="13" t="s">
        <v>209</v>
      </c>
      <c r="J63" s="19">
        <f>IF($C$20="Scribner",VLOOKUP($C$43,$B$128:$AO$167,37),IF($C$20="Doyle",VLOOKUP($C$43,$B$79:$AO$118,37),VLOOKUP($C$43,$B$178:$AO$217,37)))</f>
        <v>18.576577230087395</v>
      </c>
      <c r="N63" s="8"/>
      <c r="O63" s="8"/>
      <c r="P63" s="8"/>
      <c r="Q63" s="8"/>
      <c r="R63" s="8"/>
      <c r="S63" s="8"/>
      <c r="T63" s="8"/>
      <c r="U63" s="13"/>
      <c r="V63" s="13"/>
      <c r="W63" s="8"/>
      <c r="AJ63" s="13"/>
      <c r="AK63" s="13"/>
    </row>
    <row r="64" spans="1:37" x14ac:dyDescent="0.2">
      <c r="A64" s="1"/>
      <c r="B64" s="1" t="s">
        <v>41</v>
      </c>
      <c r="C64" s="86">
        <v>4600</v>
      </c>
      <c r="D64" s="8"/>
      <c r="E64" s="8"/>
      <c r="G64" s="13" t="s">
        <v>210</v>
      </c>
      <c r="J64" s="19">
        <f>IF($C$20="Scribner",VLOOKUP($C$43,$B$128:$AO$167,38),IF($C$20="Doyle",VLOOKUP($C$43,$B$79:$AO$118,38),VLOOKUP($C$43,$B$178:$AO$217,38)))</f>
        <v>19.324437611487017</v>
      </c>
      <c r="N64" s="8"/>
      <c r="O64" s="8"/>
      <c r="P64" s="8"/>
      <c r="Q64" s="8"/>
      <c r="R64" s="8"/>
      <c r="S64" s="8"/>
      <c r="T64" s="8"/>
      <c r="U64" s="13"/>
      <c r="V64" s="13"/>
      <c r="W64" s="8"/>
      <c r="AJ64" s="13"/>
      <c r="AK64" s="13"/>
    </row>
    <row r="65" spans="1:152" x14ac:dyDescent="0.2">
      <c r="A65" s="1"/>
      <c r="B65" s="1" t="s">
        <v>45</v>
      </c>
      <c r="C65" s="86">
        <v>5600</v>
      </c>
      <c r="D65" s="8"/>
      <c r="E65" s="8"/>
      <c r="G65" s="13" t="s">
        <v>211</v>
      </c>
      <c r="J65" s="19">
        <f>IF($C$20="Scribner",VLOOKUP($C$43,$B$128:$AO$167,40),IF($C$20="Doyle",VLOOKUP($C$43,$B$79:$AO$118,40),VLOOKUP($C$43,$B$178:$AO$217,40)))</f>
        <v>3.3217820988234101</v>
      </c>
      <c r="N65" s="8"/>
      <c r="O65" s="8"/>
      <c r="P65" s="8"/>
      <c r="Q65" s="8"/>
      <c r="R65" s="8"/>
      <c r="S65" s="8"/>
      <c r="T65" s="8"/>
      <c r="U65" s="13"/>
      <c r="V65" s="13"/>
      <c r="W65" s="8"/>
      <c r="AJ65" s="13"/>
      <c r="AK65" s="13"/>
    </row>
    <row r="66" spans="1:152" x14ac:dyDescent="0.2">
      <c r="A66" s="1"/>
      <c r="B66" s="1" t="s">
        <v>48</v>
      </c>
      <c r="C66" s="86">
        <v>6100</v>
      </c>
      <c r="D66" s="8"/>
      <c r="E66" s="8"/>
      <c r="G66" s="13" t="s">
        <v>44</v>
      </c>
      <c r="H66" s="13"/>
      <c r="J66" s="19">
        <f>IF($C$20="Scribner",VLOOKUP($C$43,$B$128:$AK$167,33),IF($C$20="Doyle",VLOOKUP($C$43,$B$79:$AK$118,33),VLOOKUP($C$43,$B$178:$AK$217,33)))</f>
        <v>0.7478603813996223</v>
      </c>
      <c r="K66" s="13" t="s">
        <v>28</v>
      </c>
      <c r="N66" s="8"/>
      <c r="O66" s="8"/>
      <c r="P66" s="8"/>
      <c r="Q66" s="8"/>
      <c r="R66" s="8"/>
      <c r="S66" s="8"/>
      <c r="T66" s="8"/>
      <c r="U66" s="13"/>
      <c r="V66" s="13"/>
      <c r="W66" s="8"/>
      <c r="AJ66" s="13"/>
      <c r="AK66" s="13"/>
    </row>
    <row r="67" spans="1:152" x14ac:dyDescent="0.2">
      <c r="A67" s="1">
        <v>16</v>
      </c>
      <c r="E67" s="8"/>
      <c r="F67" s="8"/>
      <c r="G67" s="13" t="s">
        <v>47</v>
      </c>
      <c r="H67" s="13"/>
      <c r="J67" s="19">
        <f>IF($C$20="Scribner",VLOOKUP($C$43,$B$128:$AK$167,34),IF($C$20="Doyle",VLOOKUP($C$43,$B$79:$AK$118,34),VLOOKUP($C$43,$B$178:$AK$217,34)))</f>
        <v>3.4064807864870179</v>
      </c>
      <c r="K67" s="13" t="s">
        <v>28</v>
      </c>
      <c r="N67" s="8"/>
      <c r="O67" s="8"/>
      <c r="P67" s="8"/>
      <c r="Q67" s="8"/>
      <c r="R67" s="8"/>
      <c r="S67" s="8"/>
      <c r="T67" s="8"/>
      <c r="U67" s="13"/>
      <c r="V67" s="13"/>
      <c r="W67" s="8"/>
      <c r="AJ67" s="13"/>
      <c r="AK67" s="13"/>
    </row>
    <row r="68" spans="1:152" x14ac:dyDescent="0.2">
      <c r="A68" s="1">
        <v>18</v>
      </c>
      <c r="E68" s="8"/>
      <c r="F68" s="8"/>
      <c r="G68" s="13" t="s">
        <v>51</v>
      </c>
      <c r="H68" s="13"/>
      <c r="J68" s="19">
        <f>IF($C$20="Scribner",VLOOKUP($C$43,$B$128:$AK$167,35),IF($C$20="Doyle",VLOOKUP($C$43,$B$79:$AK$118,35),VLOOKUP($C$43,$B$178:$AK$217,35)))</f>
        <v>-15.254795131263984</v>
      </c>
      <c r="K68" s="13" t="s">
        <v>28</v>
      </c>
      <c r="N68" s="8"/>
      <c r="O68" s="8"/>
      <c r="P68" s="8"/>
      <c r="Q68" s="8"/>
      <c r="R68" s="8"/>
      <c r="S68" s="8"/>
      <c r="T68" s="8"/>
      <c r="U68" s="13"/>
      <c r="V68" s="13"/>
      <c r="W68" s="8"/>
      <c r="AJ68" s="13"/>
      <c r="AK68" s="13"/>
    </row>
    <row r="69" spans="1:152" x14ac:dyDescent="0.2">
      <c r="A69" s="1">
        <v>20</v>
      </c>
      <c r="E69" s="8"/>
      <c r="F69" s="8"/>
      <c r="G69" s="13" t="s">
        <v>53</v>
      </c>
      <c r="H69" s="13"/>
      <c r="J69" s="19">
        <f>IF($C$20="Scribner",VLOOKUP($C$43,$B$128:$AK$167,36),IF($C$20="Doyle",VLOOKUP($C$43,$B$79:$AK$118,36),VLOOKUP($C$43,$B$178:$AK$217,36)))</f>
        <v>-12.596174726176589</v>
      </c>
      <c r="K69" s="13" t="s">
        <v>28</v>
      </c>
      <c r="N69" s="8"/>
      <c r="O69" s="8"/>
      <c r="P69" s="8"/>
      <c r="Q69" s="8"/>
      <c r="R69" s="8"/>
      <c r="S69" s="8"/>
      <c r="T69" s="8"/>
      <c r="U69" s="13"/>
      <c r="V69" s="13"/>
      <c r="W69" s="8"/>
      <c r="AJ69" s="13"/>
      <c r="AK69" s="13"/>
    </row>
    <row r="70" spans="1:152" x14ac:dyDescent="0.2">
      <c r="N70" s="8"/>
      <c r="O70" s="8"/>
      <c r="P70" s="8"/>
      <c r="Q70" s="8"/>
      <c r="R70" s="8"/>
      <c r="S70" s="8"/>
      <c r="T70" s="8"/>
      <c r="U70" s="13"/>
      <c r="V70" s="13"/>
      <c r="W70" s="8"/>
      <c r="AJ70" s="13"/>
      <c r="AK70" s="13"/>
    </row>
    <row r="71" spans="1:152" ht="26.25" x14ac:dyDescent="0.4">
      <c r="A71" s="30"/>
      <c r="B71" s="69" t="s">
        <v>63</v>
      </c>
      <c r="C71" s="3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S71" s="30"/>
      <c r="T71" s="30"/>
      <c r="U71" s="30"/>
      <c r="V71" s="30"/>
      <c r="Z71" s="30"/>
      <c r="AC71" s="30"/>
      <c r="AE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</row>
    <row r="72" spans="1:152" s="49" customFormat="1" x14ac:dyDescent="0.2">
      <c r="B72" s="51">
        <v>1</v>
      </c>
      <c r="C72" s="49">
        <v>2</v>
      </c>
      <c r="D72" s="51">
        <v>3</v>
      </c>
      <c r="E72" s="49">
        <v>4</v>
      </c>
      <c r="F72" s="51">
        <v>5</v>
      </c>
      <c r="G72" s="49">
        <v>6</v>
      </c>
      <c r="H72" s="51">
        <v>7</v>
      </c>
      <c r="I72" s="49">
        <v>8</v>
      </c>
      <c r="J72" s="51">
        <v>9</v>
      </c>
      <c r="K72" s="49">
        <v>10</v>
      </c>
      <c r="L72" s="51">
        <v>11</v>
      </c>
      <c r="M72" s="49">
        <v>12</v>
      </c>
      <c r="N72" s="51">
        <v>13</v>
      </c>
      <c r="O72" s="49">
        <v>14</v>
      </c>
      <c r="P72" s="51">
        <v>15</v>
      </c>
      <c r="Q72" s="49">
        <v>16</v>
      </c>
      <c r="R72" s="51">
        <v>17</v>
      </c>
      <c r="S72" s="51">
        <v>18</v>
      </c>
      <c r="T72" s="49">
        <v>19</v>
      </c>
      <c r="U72" s="51">
        <v>20</v>
      </c>
      <c r="V72" s="49">
        <v>21</v>
      </c>
      <c r="W72" s="51">
        <v>22</v>
      </c>
      <c r="X72" s="51">
        <v>23</v>
      </c>
      <c r="Y72" s="51">
        <v>24</v>
      </c>
      <c r="Z72" s="51">
        <v>25</v>
      </c>
      <c r="AA72" s="51">
        <v>26</v>
      </c>
      <c r="AB72" s="51">
        <v>27</v>
      </c>
      <c r="AC72" s="51">
        <v>28</v>
      </c>
      <c r="AD72" s="51">
        <v>29</v>
      </c>
      <c r="AE72" s="51">
        <v>30</v>
      </c>
      <c r="AF72" s="51">
        <v>31</v>
      </c>
      <c r="AG72" s="49">
        <v>32</v>
      </c>
      <c r="AH72" s="49">
        <v>33</v>
      </c>
      <c r="AI72" s="49">
        <v>34</v>
      </c>
      <c r="AJ72" s="49">
        <v>35</v>
      </c>
      <c r="AK72" s="49">
        <v>36</v>
      </c>
      <c r="AL72" s="49">
        <v>37</v>
      </c>
      <c r="AM72" s="49">
        <v>38</v>
      </c>
      <c r="AN72" s="49">
        <v>39</v>
      </c>
      <c r="AO72" s="49">
        <v>40</v>
      </c>
    </row>
    <row r="73" spans="1:152" x14ac:dyDescent="0.2">
      <c r="B73" s="13"/>
      <c r="D73" s="32"/>
      <c r="E73" s="33"/>
      <c r="F73" s="32"/>
      <c r="G73" s="33"/>
      <c r="H73" s="32" t="s">
        <v>271</v>
      </c>
      <c r="I73" s="33" t="s">
        <v>271</v>
      </c>
      <c r="J73" s="32" t="s">
        <v>271</v>
      </c>
      <c r="K73" s="33" t="s">
        <v>271</v>
      </c>
      <c r="L73" s="32" t="s">
        <v>271</v>
      </c>
      <c r="M73" s="33" t="s">
        <v>64</v>
      </c>
      <c r="N73" s="32"/>
      <c r="O73" s="32"/>
      <c r="P73" s="32"/>
      <c r="Q73" s="32"/>
      <c r="S73" s="33"/>
      <c r="T73" s="33"/>
      <c r="U73" s="33"/>
      <c r="V73" s="33"/>
      <c r="Z73" s="33"/>
      <c r="AC73" s="33" t="s">
        <v>73</v>
      </c>
      <c r="AE73" s="32" t="s">
        <v>74</v>
      </c>
      <c r="AG73" s="33"/>
      <c r="AH73" s="34"/>
      <c r="AI73" s="34"/>
      <c r="AJ73" s="34"/>
      <c r="AK73" s="34"/>
      <c r="AL73" s="32" t="s">
        <v>276</v>
      </c>
      <c r="AM73" s="33" t="s">
        <v>276</v>
      </c>
      <c r="AN73" s="33" t="s">
        <v>276</v>
      </c>
      <c r="AO73" s="33" t="s">
        <v>277</v>
      </c>
    </row>
    <row r="74" spans="1:152" x14ac:dyDescent="0.2">
      <c r="D74" s="32" t="s">
        <v>1</v>
      </c>
      <c r="E74" s="33" t="s">
        <v>3</v>
      </c>
      <c r="F74" s="32" t="s">
        <v>65</v>
      </c>
      <c r="G74" s="33" t="s">
        <v>66</v>
      </c>
      <c r="H74" s="32" t="s">
        <v>270</v>
      </c>
      <c r="I74" s="33" t="s">
        <v>270</v>
      </c>
      <c r="J74" s="32" t="s">
        <v>91</v>
      </c>
      <c r="K74" s="33" t="s">
        <v>91</v>
      </c>
      <c r="L74" s="32" t="s">
        <v>272</v>
      </c>
      <c r="M74" s="33" t="s">
        <v>92</v>
      </c>
      <c r="N74" s="32" t="s">
        <v>70</v>
      </c>
      <c r="O74" s="32" t="s">
        <v>70</v>
      </c>
      <c r="P74" s="32" t="s">
        <v>1</v>
      </c>
      <c r="Q74" s="32" t="s">
        <v>1</v>
      </c>
      <c r="R74" s="13" t="s">
        <v>192</v>
      </c>
      <c r="S74" s="33" t="s">
        <v>71</v>
      </c>
      <c r="T74" s="33" t="s">
        <v>71</v>
      </c>
      <c r="U74" s="33" t="s">
        <v>3</v>
      </c>
      <c r="V74" s="33" t="s">
        <v>3</v>
      </c>
      <c r="W74" s="13" t="s">
        <v>192</v>
      </c>
      <c r="X74" s="13" t="s">
        <v>72</v>
      </c>
      <c r="Y74" s="13" t="s">
        <v>196</v>
      </c>
      <c r="Z74" s="33" t="s">
        <v>108</v>
      </c>
      <c r="AB74" s="13" t="s">
        <v>73</v>
      </c>
      <c r="AC74" s="33" t="s">
        <v>84</v>
      </c>
      <c r="AD74" s="13" t="s">
        <v>74</v>
      </c>
      <c r="AE74" s="32" t="s">
        <v>275</v>
      </c>
      <c r="AF74" s="13" t="s">
        <v>75</v>
      </c>
      <c r="AG74" s="33" t="s">
        <v>75</v>
      </c>
      <c r="AH74" s="34" t="s">
        <v>76</v>
      </c>
      <c r="AI74" s="34" t="s">
        <v>76</v>
      </c>
      <c r="AJ74" s="34" t="s">
        <v>76</v>
      </c>
      <c r="AK74" s="34" t="s">
        <v>76</v>
      </c>
      <c r="AL74" s="32" t="s">
        <v>197</v>
      </c>
      <c r="AM74" s="33" t="s">
        <v>199</v>
      </c>
      <c r="AN74" s="33" t="s">
        <v>203</v>
      </c>
      <c r="AO74" s="33" t="s">
        <v>200</v>
      </c>
      <c r="AP74" s="13" t="s">
        <v>77</v>
      </c>
    </row>
    <row r="75" spans="1:152" x14ac:dyDescent="0.2">
      <c r="C75" s="2" t="s">
        <v>78</v>
      </c>
      <c r="D75" s="32" t="s">
        <v>79</v>
      </c>
      <c r="E75" s="33" t="s">
        <v>80</v>
      </c>
      <c r="F75" s="32" t="s">
        <v>269</v>
      </c>
      <c r="G75" s="33" t="s">
        <v>269</v>
      </c>
      <c r="H75" s="32" t="s">
        <v>1</v>
      </c>
      <c r="I75" s="33" t="s">
        <v>3</v>
      </c>
      <c r="J75" s="32" t="s">
        <v>1</v>
      </c>
      <c r="K75" s="33" t="s">
        <v>3</v>
      </c>
      <c r="L75" s="32" t="s">
        <v>1</v>
      </c>
      <c r="M75" s="33" t="s">
        <v>3</v>
      </c>
      <c r="N75" s="32" t="s">
        <v>55</v>
      </c>
      <c r="O75" s="32" t="s">
        <v>55</v>
      </c>
      <c r="P75" s="32" t="s">
        <v>82</v>
      </c>
      <c r="Q75" s="32" t="s">
        <v>82</v>
      </c>
      <c r="R75" s="13" t="s">
        <v>193</v>
      </c>
      <c r="S75" s="33" t="s">
        <v>55</v>
      </c>
      <c r="T75" s="33" t="s">
        <v>55</v>
      </c>
      <c r="U75" s="33" t="s">
        <v>82</v>
      </c>
      <c r="V75" s="33" t="s">
        <v>82</v>
      </c>
      <c r="W75" s="13" t="s">
        <v>195</v>
      </c>
      <c r="X75" s="13" t="s">
        <v>83</v>
      </c>
      <c r="Y75" s="13" t="s">
        <v>82</v>
      </c>
      <c r="Z75" s="33" t="s">
        <v>109</v>
      </c>
      <c r="AA75" s="13" t="s">
        <v>192</v>
      </c>
      <c r="AB75" s="13" t="s">
        <v>84</v>
      </c>
      <c r="AC75" s="33" t="s">
        <v>274</v>
      </c>
      <c r="AD75" s="13" t="s">
        <v>275</v>
      </c>
      <c r="AE75" s="32" t="s">
        <v>274</v>
      </c>
      <c r="AF75" s="13" t="s">
        <v>275</v>
      </c>
      <c r="AG75" s="33" t="s">
        <v>275</v>
      </c>
      <c r="AH75" s="34" t="s">
        <v>86</v>
      </c>
      <c r="AI75" s="34" t="s">
        <v>87</v>
      </c>
      <c r="AJ75" s="34" t="s">
        <v>88</v>
      </c>
      <c r="AK75" s="34" t="s">
        <v>89</v>
      </c>
      <c r="AL75" s="32" t="s">
        <v>198</v>
      </c>
      <c r="AM75" s="33" t="s">
        <v>200</v>
      </c>
      <c r="AN75" s="33" t="s">
        <v>204</v>
      </c>
      <c r="AO75" s="33" t="s">
        <v>201</v>
      </c>
      <c r="AP75" s="13" t="s">
        <v>90</v>
      </c>
    </row>
    <row r="76" spans="1:152" ht="15.75" x14ac:dyDescent="0.2">
      <c r="B76" s="2" t="s">
        <v>78</v>
      </c>
      <c r="D76" s="32"/>
      <c r="E76" s="33"/>
      <c r="F76" s="32" t="s">
        <v>1</v>
      </c>
      <c r="G76" s="33" t="s">
        <v>3</v>
      </c>
      <c r="H76" s="32" t="s">
        <v>63</v>
      </c>
      <c r="I76" s="33" t="s">
        <v>63</v>
      </c>
      <c r="J76" s="32" t="s">
        <v>63</v>
      </c>
      <c r="K76" s="33" t="s">
        <v>63</v>
      </c>
      <c r="L76" s="32" t="s">
        <v>63</v>
      </c>
      <c r="M76" s="33" t="s">
        <v>63</v>
      </c>
      <c r="N76" s="32" t="s">
        <v>91</v>
      </c>
      <c r="O76" s="32" t="s">
        <v>92</v>
      </c>
      <c r="P76" s="32" t="s">
        <v>91</v>
      </c>
      <c r="Q76" s="32" t="s">
        <v>92</v>
      </c>
      <c r="R76" s="13" t="s">
        <v>194</v>
      </c>
      <c r="S76" s="33" t="s">
        <v>91</v>
      </c>
      <c r="T76" s="16" t="s">
        <v>92</v>
      </c>
      <c r="U76" s="33" t="s">
        <v>91</v>
      </c>
      <c r="V76" s="33" t="s">
        <v>92</v>
      </c>
      <c r="W76" s="13" t="s">
        <v>194</v>
      </c>
      <c r="X76" s="13" t="s">
        <v>273</v>
      </c>
      <c r="Y76" s="13" t="s">
        <v>273</v>
      </c>
      <c r="Z76" s="33" t="s">
        <v>110</v>
      </c>
      <c r="AA76" s="13" t="s">
        <v>191</v>
      </c>
      <c r="AB76" s="13" t="s">
        <v>273</v>
      </c>
      <c r="AC76" s="33" t="s">
        <v>99</v>
      </c>
      <c r="AD76" s="13" t="s">
        <v>273</v>
      </c>
      <c r="AE76" s="32" t="s">
        <v>100</v>
      </c>
      <c r="AF76" s="13" t="s">
        <v>273</v>
      </c>
      <c r="AG76" s="33" t="s">
        <v>274</v>
      </c>
      <c r="AH76" s="34" t="s">
        <v>180</v>
      </c>
      <c r="AI76" s="34" t="s">
        <v>95</v>
      </c>
      <c r="AJ76" s="34" t="s">
        <v>180</v>
      </c>
      <c r="AK76" s="34" t="s">
        <v>95</v>
      </c>
      <c r="AL76" s="32"/>
      <c r="AM76" s="33" t="s">
        <v>201</v>
      </c>
      <c r="AN76" s="33"/>
      <c r="AO76" s="33"/>
      <c r="AP76" s="13" t="s">
        <v>96</v>
      </c>
    </row>
    <row r="77" spans="1:152" x14ac:dyDescent="0.2">
      <c r="H77" s="13"/>
      <c r="I77" s="13"/>
      <c r="J77" s="13"/>
      <c r="K77" s="13"/>
      <c r="L77" s="13"/>
      <c r="M77" s="13"/>
      <c r="N77" s="35"/>
      <c r="O77" s="35"/>
      <c r="P77" s="16"/>
      <c r="Q77" s="16"/>
      <c r="R77" s="18"/>
      <c r="S77" s="16"/>
      <c r="T77" s="16"/>
      <c r="U77" s="16"/>
      <c r="V77" s="16"/>
      <c r="W77" s="18"/>
      <c r="X77" s="13" t="s">
        <v>97</v>
      </c>
      <c r="Y77" s="13" t="s">
        <v>98</v>
      </c>
      <c r="Z77" s="2"/>
      <c r="AG77" s="33" t="s">
        <v>101</v>
      </c>
      <c r="AL77" s="2" t="s">
        <v>206</v>
      </c>
      <c r="AM77" s="2" t="s">
        <v>207</v>
      </c>
      <c r="AN77" s="2" t="s">
        <v>206</v>
      </c>
    </row>
    <row r="78" spans="1:152" x14ac:dyDescent="0.2">
      <c r="B78" s="2">
        <v>1</v>
      </c>
      <c r="C78" s="2">
        <v>2009</v>
      </c>
      <c r="D78" s="36">
        <f>$C$9</f>
        <v>14</v>
      </c>
      <c r="E78" s="36">
        <f>C9</f>
        <v>14</v>
      </c>
      <c r="F78" s="36">
        <f>($C$10/16)</f>
        <v>2</v>
      </c>
      <c r="G78" s="36">
        <f>($C$10/16)</f>
        <v>2</v>
      </c>
      <c r="H78" s="37">
        <f t="shared" ref="H78:H117" si="0">((0.55743*($F78^2))+(41.51275*$F78)-29.37337)+(((2.78043-(0.04516*($F78^2))-(8.77272*$F78))*$D78))+(((0.04177-(0.01578*($F78^2))+(0.59042*$F78))*($D78^2)))</f>
        <v>73.902789999999982</v>
      </c>
      <c r="I78" s="37">
        <f t="shared" ref="I78:I117" si="1">((0.55743*($G78^2))+(41.51275*$G78)-29.37337)+(((2.78043-(0.04516*($G78^2))-(8.77272*$G78))*$E78))+(((0.04177-(0.01578*($G78^2))+(0.59042*$G78))*($E78^2)))</f>
        <v>73.902789999999982</v>
      </c>
      <c r="J78" s="37">
        <f t="shared" ref="J78:J117" si="2">((0.55743*($H$16^2))+(41.51275*$H$16)-29.37337)+(((2.78043-(0.04516*($H$16^2))-(8.77272*$H$16))*$D78))+(((0.04177-(0.01578*($H$16^2))+(0.59042*$H$16))*($D78^2)))</f>
        <v>34.156142499999987</v>
      </c>
      <c r="K78" s="37">
        <f t="shared" ref="K78:K117" si="3">((0.55743*($H$16^2))+(41.51275*$H$16)-29.37337)+(((2.78043-(0.04516*($H$16^2))-(8.77272*$H$16))*$E78))+(((0.04177-(0.01578*($H$16^2))+(0.59042*$H$16))*($E78^2)))</f>
        <v>34.156142499999987</v>
      </c>
      <c r="L78" s="37">
        <f t="shared" ref="L78:L117" si="4">H78-J78</f>
        <v>39.746647499999995</v>
      </c>
      <c r="M78" s="37">
        <f t="shared" ref="M78:M117" si="5">I78-K78</f>
        <v>39.746647499999995</v>
      </c>
      <c r="N78" s="38">
        <f t="shared" ref="N78:N117" si="6">IF($C$18="red",((VLOOKUP(($D78-($C$21*2)),$F$38:$K$42,4))+(($C78-$C$78)*$H$17)),((VLOOKUP(($D78-($C$21*2)),$F$38:$K$42,3)))+(($C78-$C$78)*$H$17))</f>
        <v>175</v>
      </c>
      <c r="O78" s="38">
        <f>IF($C$18="red",((VLOOKUP((($D78-(($C$22*2)+2))),$F$38:$K$42,4))+(($C78-$C$127)*$H$19)),((VLOOKUP(($D78-(($C$22*2)+2)),$F$38:$K$42,3)))+(($C78-$C$127)*$H$19))</f>
        <v>125</v>
      </c>
      <c r="P78" s="16">
        <f t="shared" ref="P78:P117" si="7">J78*(N78/1000)</f>
        <v>5.977324937499997</v>
      </c>
      <c r="Q78" s="16">
        <f t="shared" ref="Q78:Q117" si="8">L78*(O78/1000)</f>
        <v>4.9683309374999993</v>
      </c>
      <c r="R78" s="18">
        <f t="shared" ref="R78:R117" si="9">-((P78+Q78)*$C$45)</f>
        <v>-1.6418483812499993</v>
      </c>
      <c r="S78" s="38">
        <f t="shared" ref="S78:S117" si="10">IF($C$18="red",((VLOOKUP(($E78-($C$21*2)),$F$38:$K$42,6))+(($B78-$B$78)*$H$18)),((VLOOKUP(($E78-($C$21*2)),$F$38:$K$42,5)))+(($B78-$B$78)*$H$18))</f>
        <v>57.75</v>
      </c>
      <c r="T78" s="38">
        <f t="shared" ref="T78:T117" si="11">IF($C$18="red",((VLOOKUP(($E78-(($C$22*2)+2)),$F$38:$K$42,4))+(($B78-$B$78)*$H$19)),((VLOOKUP(($E78-(($C$22*2)+2)),$F$38:$K$42,3)))+(($B78-$B$78)*$H$19))</f>
        <v>125</v>
      </c>
      <c r="U78" s="16">
        <f t="shared" ref="U78:U117" si="12">K78*(S78/1000)</f>
        <v>1.9725172293749993</v>
      </c>
      <c r="V78" s="16">
        <f t="shared" ref="V78:V117" si="13">M78*(T78/1000)</f>
        <v>4.9683309374999993</v>
      </c>
      <c r="W78" s="18">
        <f t="shared" ref="W78:W117" si="14">-((U78+V78)*$C$45)</f>
        <v>-1.0411272250312498</v>
      </c>
      <c r="X78" s="18">
        <f t="shared" ref="X78:X117" si="15">(P78+Q78+R78)/((1+$C$44)^(C78-$C$78))</f>
        <v>9.3038074937499964</v>
      </c>
      <c r="Y78" s="18">
        <f t="shared" ref="Y78:Y117" si="16">(U78+V78+W78)/((1+$C$44)^(C78-$C$78))</f>
        <v>5.8997209418437482</v>
      </c>
      <c r="Z78" s="39">
        <f>IF(E78&lt;$C$33,0,IF(E78&lt;$C$34,$C$31,(2*$C$31)))</f>
        <v>0.5</v>
      </c>
      <c r="AA78" s="18">
        <f t="shared" ref="AA78:AA117" si="17">-(Z78*$C$46)</f>
        <v>-7.4999999999999997E-2</v>
      </c>
      <c r="AB78" s="18">
        <f t="shared" ref="AB78:AB117" si="18">(Z78+AA78)/((1+$C$44)^(C78-$C$78))</f>
        <v>0.42499999999999999</v>
      </c>
      <c r="AC78" s="18">
        <f t="shared" ref="AC78:AC117" si="19">AC77+AB78</f>
        <v>0.42499999999999999</v>
      </c>
      <c r="AD78" s="18">
        <f t="shared" ref="AD78:AD117" si="20">-(($H$30+((C78-$C$78)*$H$26)) / ((1+$C$44)^(C78-$C$78)))</f>
        <v>-0.12</v>
      </c>
      <c r="AE78" s="18">
        <f t="shared" ref="AE78:AE117" si="21">AE77+AD78</f>
        <v>-0.12</v>
      </c>
      <c r="AF78" s="18">
        <f t="shared" ref="AF78:AF117" si="22">-(($H$31+((C78-$C$78)*$H$27)) / ((1+$C$44)^(C78-$C$78)))</f>
        <v>-2.8799999999999996E-2</v>
      </c>
      <c r="AG78" s="18">
        <f>AF77+AF78</f>
        <v>-2.8799999999999996E-2</v>
      </c>
      <c r="AH78" s="19">
        <f>AM78-AL78</f>
        <v>-2.8878865519062495</v>
      </c>
      <c r="AI78" s="19">
        <f t="shared" ref="AI78:AI117" si="23">AM78-AN78</f>
        <v>-2.8878865519062495</v>
      </c>
      <c r="AJ78" s="40">
        <f t="shared" ref="AJ78:AJ117" si="24">AO78-AL78</f>
        <v>-8.7876074937499968</v>
      </c>
      <c r="AK78" s="40">
        <f t="shared" ref="AK78:AK117" si="25">AO78-AN78</f>
        <v>-8.7876074937499968</v>
      </c>
      <c r="AL78" s="40">
        <f t="shared" ref="AL78:AL117" si="26">X78+AE78</f>
        <v>9.1838074937499972</v>
      </c>
      <c r="AM78" s="40">
        <f t="shared" ref="AM78:AM117" si="27">Y78+AC78+AG78</f>
        <v>6.2959209418437476</v>
      </c>
      <c r="AN78" s="40">
        <f>$X78+$AE78</f>
        <v>9.1838074937499972</v>
      </c>
      <c r="AO78" s="40">
        <f t="shared" ref="AO78:AO117" si="28">AC78+AG78</f>
        <v>0.3962</v>
      </c>
      <c r="AP78" s="17">
        <f t="shared" ref="AP78:AP117" si="29">X78/(P78+Q78)</f>
        <v>0.85</v>
      </c>
    </row>
    <row r="79" spans="1:152" x14ac:dyDescent="0.2">
      <c r="B79" s="2">
        <v>2</v>
      </c>
      <c r="C79" s="2">
        <f t="shared" ref="C79:C117" si="30">C78+1</f>
        <v>2010</v>
      </c>
      <c r="D79" s="36">
        <f>D78+($C$14*(1-$C$17)^($C79-$C$78))</f>
        <v>14.099</v>
      </c>
      <c r="E79" s="36">
        <f t="shared" ref="E79:E117" si="31">E78+($H$13*(1-$C$17)^($C79-$C$78))</f>
        <v>14.0891</v>
      </c>
      <c r="F79" s="36">
        <f t="shared" ref="F79:F117" si="32">F78+(($C$11/16)*(1-$C$13)^($C79-$C$78))</f>
        <v>2.0309374999999998</v>
      </c>
      <c r="G79" s="36">
        <f t="shared" ref="G79:G117" si="33">G78+(($H$14/16)*(1-$C$13)^($C79-$C$78))</f>
        <v>2.0278437500000002</v>
      </c>
      <c r="H79" s="37">
        <f t="shared" si="0"/>
        <v>76.336294913396785</v>
      </c>
      <c r="I79" s="37">
        <f t="shared" si="1"/>
        <v>76.090573272466258</v>
      </c>
      <c r="J79" s="37">
        <f t="shared" si="2"/>
        <v>34.922474816034992</v>
      </c>
      <c r="K79" s="37">
        <f t="shared" si="3"/>
        <v>34.84554781758834</v>
      </c>
      <c r="L79" s="37">
        <f t="shared" si="4"/>
        <v>41.413820097361793</v>
      </c>
      <c r="M79" s="37">
        <f t="shared" si="5"/>
        <v>41.245025454877918</v>
      </c>
      <c r="N79" s="38">
        <f t="shared" si="6"/>
        <v>182.875</v>
      </c>
      <c r="O79" s="38">
        <f t="shared" ref="O79:O117" si="34">IF($C$18="red",((VLOOKUP((($D79-(($C$22*2)+2))),$F$38:$K$42,4))+(($C79-$C$78)*$H$19)),((VLOOKUP(($D79-(($C$22*2)+2)),$F$38:$K$42,3)))+(($C79-$C$78)*$H$19))</f>
        <v>130.625</v>
      </c>
      <c r="P79" s="16">
        <f t="shared" si="7"/>
        <v>6.3864475819823996</v>
      </c>
      <c r="Q79" s="16">
        <f t="shared" si="8"/>
        <v>5.4096802502178836</v>
      </c>
      <c r="R79" s="18">
        <f t="shared" si="9"/>
        <v>-1.7694191748300425</v>
      </c>
      <c r="S79" s="38">
        <f t="shared" si="10"/>
        <v>60.348750000000003</v>
      </c>
      <c r="T79" s="38">
        <f t="shared" si="11"/>
        <v>130.625</v>
      </c>
      <c r="U79" s="16">
        <f t="shared" si="12"/>
        <v>2.1028852538566842</v>
      </c>
      <c r="V79" s="16">
        <f t="shared" si="13"/>
        <v>5.3876314500434281</v>
      </c>
      <c r="W79" s="18">
        <f t="shared" si="14"/>
        <v>-1.1235775055850168</v>
      </c>
      <c r="X79" s="18">
        <f t="shared" si="15"/>
        <v>9.6410660167021547</v>
      </c>
      <c r="Y79" s="18">
        <f t="shared" si="16"/>
        <v>6.1220569214568235</v>
      </c>
      <c r="Z79" s="39">
        <f t="shared" ref="Z79:Z117" si="35">IF(E79&lt;$C$33,0, IF(E79&lt;$C$34,($C$31+((C79-$C$78)*$H$24)),(2*$C$31)+((C79-$C$78)*(2*$H$24))))</f>
        <v>0.5</v>
      </c>
      <c r="AA79" s="18">
        <f t="shared" si="17"/>
        <v>-7.4999999999999997E-2</v>
      </c>
      <c r="AB79" s="18">
        <f t="shared" si="18"/>
        <v>0.40865384615384615</v>
      </c>
      <c r="AC79" s="18">
        <f t="shared" si="19"/>
        <v>0.83365384615384608</v>
      </c>
      <c r="AD79" s="18">
        <f t="shared" si="20"/>
        <v>-0.11769230769230768</v>
      </c>
      <c r="AE79" s="18">
        <f t="shared" si="21"/>
        <v>-0.23769230769230767</v>
      </c>
      <c r="AF79" s="18">
        <f t="shared" si="22"/>
        <v>-2.8246153846153841E-2</v>
      </c>
      <c r="AG79" s="18">
        <f t="shared" ref="AG79:AG117" si="36">AG78+AF79</f>
        <v>-5.7046153846153837E-2</v>
      </c>
      <c r="AH79" s="19">
        <f t="shared" ref="AH79:AH117" si="37">AM79-AL79</f>
        <v>-2.5047090952453308</v>
      </c>
      <c r="AI79" s="19">
        <f t="shared" si="23"/>
        <v>-2.2851428799854814</v>
      </c>
      <c r="AJ79" s="40">
        <f t="shared" si="24"/>
        <v>-8.6267660167021543</v>
      </c>
      <c r="AK79" s="40">
        <f t="shared" si="25"/>
        <v>-8.4071998014423048</v>
      </c>
      <c r="AL79" s="40">
        <f t="shared" si="26"/>
        <v>9.4033737090098466</v>
      </c>
      <c r="AM79" s="40">
        <f t="shared" si="27"/>
        <v>6.8986646137645158</v>
      </c>
      <c r="AN79" s="40">
        <f t="shared" ref="AN79:AN117" si="38">$X$78+$AE$78</f>
        <v>9.1838074937499972</v>
      </c>
      <c r="AO79" s="40">
        <f t="shared" si="28"/>
        <v>0.77660769230769222</v>
      </c>
      <c r="AP79" s="17">
        <f t="shared" si="29"/>
        <v>0.81730769230769229</v>
      </c>
    </row>
    <row r="80" spans="1:152" x14ac:dyDescent="0.2">
      <c r="B80" s="2">
        <v>3</v>
      </c>
      <c r="C80" s="2">
        <f t="shared" si="30"/>
        <v>2011</v>
      </c>
      <c r="D80" s="36">
        <f t="shared" ref="D80:D117" si="39">D79+($C$14*(1-$C$17)^(C80-$C$78))</f>
        <v>14.197010000000001</v>
      </c>
      <c r="E80" s="36">
        <f t="shared" si="31"/>
        <v>14.177309000000001</v>
      </c>
      <c r="F80" s="36">
        <f t="shared" si="32"/>
        <v>2.0615656249999996</v>
      </c>
      <c r="G80" s="36">
        <f t="shared" si="33"/>
        <v>2.0554090625000003</v>
      </c>
      <c r="H80" s="37">
        <f t="shared" si="0"/>
        <v>78.797612254155155</v>
      </c>
      <c r="I80" s="37">
        <f t="shared" si="1"/>
        <v>78.298664209880627</v>
      </c>
      <c r="J80" s="37">
        <f t="shared" si="2"/>
        <v>35.687574365106201</v>
      </c>
      <c r="K80" s="37">
        <f t="shared" si="3"/>
        <v>35.533267832520025</v>
      </c>
      <c r="L80" s="37">
        <f t="shared" si="4"/>
        <v>43.110037889048954</v>
      </c>
      <c r="M80" s="37">
        <f t="shared" si="5"/>
        <v>42.765396377360602</v>
      </c>
      <c r="N80" s="38">
        <f t="shared" si="6"/>
        <v>190.75</v>
      </c>
      <c r="O80" s="38">
        <f t="shared" si="34"/>
        <v>136.25</v>
      </c>
      <c r="P80" s="16">
        <f t="shared" si="7"/>
        <v>6.8074048101440079</v>
      </c>
      <c r="Q80" s="16">
        <f t="shared" si="8"/>
        <v>5.8737426623829201</v>
      </c>
      <c r="R80" s="18">
        <f t="shared" si="9"/>
        <v>-1.902172120879039</v>
      </c>
      <c r="S80" s="38">
        <f t="shared" si="10"/>
        <v>62.947499999999998</v>
      </c>
      <c r="T80" s="38">
        <f t="shared" si="11"/>
        <v>136.25</v>
      </c>
      <c r="U80" s="16">
        <f t="shared" si="12"/>
        <v>2.2367303768875546</v>
      </c>
      <c r="V80" s="16">
        <f t="shared" si="13"/>
        <v>5.8267852564153824</v>
      </c>
      <c r="W80" s="18">
        <f t="shared" si="14"/>
        <v>-1.2095273449954407</v>
      </c>
      <c r="X80" s="18">
        <f t="shared" si="15"/>
        <v>9.9657686313312563</v>
      </c>
      <c r="Y80" s="18">
        <f t="shared" si="16"/>
        <v>6.3368974559055999</v>
      </c>
      <c r="Z80" s="39">
        <f t="shared" si="35"/>
        <v>0.5</v>
      </c>
      <c r="AA80" s="18">
        <f t="shared" si="17"/>
        <v>-7.4999999999999997E-2</v>
      </c>
      <c r="AB80" s="18">
        <f t="shared" si="18"/>
        <v>0.39293639053254431</v>
      </c>
      <c r="AC80" s="18">
        <f t="shared" si="19"/>
        <v>1.2265902366863903</v>
      </c>
      <c r="AD80" s="18">
        <f t="shared" si="20"/>
        <v>-0.11538461538461536</v>
      </c>
      <c r="AE80" s="18">
        <f t="shared" si="21"/>
        <v>-0.35307692307692307</v>
      </c>
      <c r="AF80" s="18">
        <f t="shared" si="22"/>
        <v>-2.7692307692307686E-2</v>
      </c>
      <c r="AG80" s="18">
        <f t="shared" si="36"/>
        <v>-8.4738461538461526E-2</v>
      </c>
      <c r="AH80" s="19">
        <f t="shared" si="37"/>
        <v>-2.1339424772008044</v>
      </c>
      <c r="AI80" s="19">
        <f t="shared" si="23"/>
        <v>-1.7050582626964683</v>
      </c>
      <c r="AJ80" s="40">
        <f t="shared" si="24"/>
        <v>-8.4708399331064044</v>
      </c>
      <c r="AK80" s="40">
        <f t="shared" si="25"/>
        <v>-8.0419557186020683</v>
      </c>
      <c r="AL80" s="40">
        <f t="shared" si="26"/>
        <v>9.6126917082543333</v>
      </c>
      <c r="AM80" s="40">
        <f t="shared" si="27"/>
        <v>7.4787492310535288</v>
      </c>
      <c r="AN80" s="40">
        <f t="shared" si="38"/>
        <v>9.1838074937499972</v>
      </c>
      <c r="AO80" s="40">
        <f t="shared" si="28"/>
        <v>1.1418517751479289</v>
      </c>
      <c r="AP80" s="17">
        <f t="shared" si="29"/>
        <v>0.78587278106508862</v>
      </c>
    </row>
    <row r="81" spans="2:58" ht="13.5" x14ac:dyDescent="0.25">
      <c r="B81" s="2">
        <v>4</v>
      </c>
      <c r="C81" s="2">
        <f t="shared" si="30"/>
        <v>2012</v>
      </c>
      <c r="D81" s="36">
        <f t="shared" si="39"/>
        <v>14.294039900000001</v>
      </c>
      <c r="E81" s="36">
        <f t="shared" si="31"/>
        <v>14.264635910000001</v>
      </c>
      <c r="F81" s="36">
        <f t="shared" si="32"/>
        <v>2.0918874687499995</v>
      </c>
      <c r="G81" s="36">
        <f t="shared" si="33"/>
        <v>2.0826987218750004</v>
      </c>
      <c r="H81" s="37">
        <f t="shared" si="0"/>
        <v>81.28607340268789</v>
      </c>
      <c r="I81" s="37">
        <f t="shared" si="1"/>
        <v>80.526492450620196</v>
      </c>
      <c r="J81" s="37">
        <f t="shared" si="2"/>
        <v>36.451325506814939</v>
      </c>
      <c r="K81" s="37">
        <f t="shared" si="3"/>
        <v>36.21921574368627</v>
      </c>
      <c r="L81" s="37">
        <f t="shared" si="4"/>
        <v>44.834747895872951</v>
      </c>
      <c r="M81" s="37">
        <f t="shared" si="5"/>
        <v>44.307276706933926</v>
      </c>
      <c r="N81" s="38">
        <f t="shared" si="6"/>
        <v>198.625</v>
      </c>
      <c r="O81" s="38">
        <f t="shared" si="34"/>
        <v>141.875</v>
      </c>
      <c r="P81" s="16">
        <f t="shared" si="7"/>
        <v>7.2401445287911175</v>
      </c>
      <c r="Q81" s="16">
        <f t="shared" si="8"/>
        <v>6.3609298577269753</v>
      </c>
      <c r="R81" s="18">
        <f t="shared" si="9"/>
        <v>-2.0401611579777139</v>
      </c>
      <c r="S81" s="38">
        <f t="shared" si="10"/>
        <v>65.546250000000001</v>
      </c>
      <c r="T81" s="38">
        <f t="shared" si="11"/>
        <v>141.875</v>
      </c>
      <c r="U81" s="16">
        <f t="shared" si="12"/>
        <v>2.3740337699395964</v>
      </c>
      <c r="V81" s="16">
        <f t="shared" si="13"/>
        <v>6.2860948827962506</v>
      </c>
      <c r="W81" s="18">
        <f t="shared" si="14"/>
        <v>-1.299019297910377</v>
      </c>
      <c r="X81" s="18">
        <f t="shared" si="15"/>
        <v>10.277609763082806</v>
      </c>
      <c r="Y81" s="18">
        <f t="shared" si="16"/>
        <v>6.5439994122182492</v>
      </c>
      <c r="Z81" s="39">
        <f t="shared" si="35"/>
        <v>0.5</v>
      </c>
      <c r="AA81" s="18">
        <f t="shared" si="17"/>
        <v>-7.4999999999999997E-2</v>
      </c>
      <c r="AB81" s="18">
        <f t="shared" si="18"/>
        <v>0.37782345243513876</v>
      </c>
      <c r="AC81" s="18">
        <f t="shared" si="19"/>
        <v>1.604413689121529</v>
      </c>
      <c r="AD81" s="18">
        <f t="shared" si="20"/>
        <v>-0.11308033682294037</v>
      </c>
      <c r="AE81" s="18">
        <f t="shared" si="21"/>
        <v>-0.46615725989986345</v>
      </c>
      <c r="AF81" s="18">
        <f t="shared" si="22"/>
        <v>-2.7139280837505685E-2</v>
      </c>
      <c r="AG81" s="18">
        <f t="shared" si="36"/>
        <v>-0.1118777423759672</v>
      </c>
      <c r="AH81" s="19">
        <f t="shared" si="37"/>
        <v>-1.7749171442191294</v>
      </c>
      <c r="AI81" s="19">
        <f t="shared" si="23"/>
        <v>-1.1472721347861849</v>
      </c>
      <c r="AJ81" s="40">
        <f t="shared" si="24"/>
        <v>-8.3189165564373795</v>
      </c>
      <c r="AK81" s="40">
        <f t="shared" si="25"/>
        <v>-7.691271547004435</v>
      </c>
      <c r="AL81" s="40">
        <f t="shared" si="26"/>
        <v>9.8114525031829416</v>
      </c>
      <c r="AM81" s="40">
        <f t="shared" si="27"/>
        <v>8.0365353589638122</v>
      </c>
      <c r="AN81" s="40">
        <f t="shared" si="38"/>
        <v>9.1838074937499972</v>
      </c>
      <c r="AO81" s="40">
        <f t="shared" si="28"/>
        <v>1.4925359467455619</v>
      </c>
      <c r="AP81" s="17">
        <f t="shared" si="29"/>
        <v>0.75564690487027752</v>
      </c>
      <c r="BF81" s="41"/>
    </row>
    <row r="82" spans="2:58" x14ac:dyDescent="0.2">
      <c r="B82" s="2">
        <v>5</v>
      </c>
      <c r="C82" s="2">
        <f t="shared" si="30"/>
        <v>2013</v>
      </c>
      <c r="D82" s="36">
        <f t="shared" si="39"/>
        <v>14.390099501000002</v>
      </c>
      <c r="E82" s="36">
        <f t="shared" si="31"/>
        <v>14.351089550900001</v>
      </c>
      <c r="F82" s="36">
        <f t="shared" si="32"/>
        <v>2.1219060940624996</v>
      </c>
      <c r="G82" s="36">
        <f t="shared" si="33"/>
        <v>2.1097154846562503</v>
      </c>
      <c r="H82" s="37">
        <f t="shared" si="0"/>
        <v>83.801001726988574</v>
      </c>
      <c r="I82" s="37">
        <f t="shared" si="1"/>
        <v>82.773484491068501</v>
      </c>
      <c r="J82" s="37">
        <f t="shared" si="2"/>
        <v>37.213616303731087</v>
      </c>
      <c r="K82" s="37">
        <f t="shared" si="3"/>
        <v>36.903307680706675</v>
      </c>
      <c r="L82" s="37">
        <f t="shared" si="4"/>
        <v>46.587385423257487</v>
      </c>
      <c r="M82" s="37">
        <f t="shared" si="5"/>
        <v>45.870176810361826</v>
      </c>
      <c r="N82" s="38">
        <f t="shared" si="6"/>
        <v>206.5</v>
      </c>
      <c r="O82" s="38">
        <f t="shared" si="34"/>
        <v>147.5</v>
      </c>
      <c r="P82" s="16">
        <f t="shared" si="7"/>
        <v>7.6846117667204688</v>
      </c>
      <c r="Q82" s="16">
        <f t="shared" si="8"/>
        <v>6.8716393499304793</v>
      </c>
      <c r="R82" s="18">
        <f t="shared" si="9"/>
        <v>-2.1834376674976421</v>
      </c>
      <c r="S82" s="38">
        <f t="shared" si="10"/>
        <v>68.144999999999996</v>
      </c>
      <c r="T82" s="38">
        <f t="shared" si="11"/>
        <v>147.5</v>
      </c>
      <c r="U82" s="16">
        <f t="shared" si="12"/>
        <v>2.5147759019017561</v>
      </c>
      <c r="V82" s="16">
        <f t="shared" si="13"/>
        <v>6.7658510795283693</v>
      </c>
      <c r="W82" s="18">
        <f t="shared" si="14"/>
        <v>-1.3920940472145187</v>
      </c>
      <c r="X82" s="18">
        <f t="shared" si="15"/>
        <v>10.576332791165202</v>
      </c>
      <c r="Y82" s="18">
        <f t="shared" si="16"/>
        <v>6.7431510132435193</v>
      </c>
      <c r="Z82" s="39">
        <f t="shared" si="35"/>
        <v>0.5</v>
      </c>
      <c r="AA82" s="18">
        <f t="shared" si="17"/>
        <v>-7.4999999999999997E-2</v>
      </c>
      <c r="AB82" s="18">
        <f t="shared" si="18"/>
        <v>0.36329178118763339</v>
      </c>
      <c r="AC82" s="18">
        <f t="shared" si="19"/>
        <v>1.9677054703091623</v>
      </c>
      <c r="AD82" s="18">
        <f t="shared" si="20"/>
        <v>-0.11078262315745245</v>
      </c>
      <c r="AE82" s="18">
        <f t="shared" si="21"/>
        <v>-0.57693988305731592</v>
      </c>
      <c r="AF82" s="18">
        <f t="shared" si="22"/>
        <v>-2.6587829557788586E-2</v>
      </c>
      <c r="AG82" s="18">
        <f t="shared" si="36"/>
        <v>-0.1384655719337558</v>
      </c>
      <c r="AH82" s="19">
        <f t="shared" si="37"/>
        <v>-1.4270019964889595</v>
      </c>
      <c r="AI82" s="19">
        <f t="shared" si="23"/>
        <v>-0.61141658213107064</v>
      </c>
      <c r="AJ82" s="40">
        <f t="shared" si="24"/>
        <v>-8.1701530097324788</v>
      </c>
      <c r="AK82" s="40">
        <f t="shared" si="25"/>
        <v>-7.3545675953745908</v>
      </c>
      <c r="AL82" s="40">
        <f t="shared" si="26"/>
        <v>9.9993929081078861</v>
      </c>
      <c r="AM82" s="40">
        <f t="shared" si="27"/>
        <v>8.5723909116189265</v>
      </c>
      <c r="AN82" s="40">
        <f t="shared" si="38"/>
        <v>9.1838074937499972</v>
      </c>
      <c r="AO82" s="40">
        <f t="shared" si="28"/>
        <v>1.8292398983754066</v>
      </c>
      <c r="AP82" s="17">
        <f t="shared" si="29"/>
        <v>0.72658356237526689</v>
      </c>
    </row>
    <row r="83" spans="2:58" x14ac:dyDescent="0.2">
      <c r="B83" s="2">
        <v>6</v>
      </c>
      <c r="C83" s="2">
        <f t="shared" si="30"/>
        <v>2014</v>
      </c>
      <c r="D83" s="36">
        <f t="shared" si="39"/>
        <v>14.485198505990002</v>
      </c>
      <c r="E83" s="36">
        <f t="shared" si="31"/>
        <v>14.436678655391001</v>
      </c>
      <c r="F83" s="36">
        <f t="shared" si="32"/>
        <v>2.1516245331218746</v>
      </c>
      <c r="G83" s="36">
        <f t="shared" si="33"/>
        <v>2.1364620798096876</v>
      </c>
      <c r="H83" s="37">
        <f t="shared" si="0"/>
        <v>86.341713750523098</v>
      </c>
      <c r="I83" s="37">
        <f t="shared" si="1"/>
        <v>85.039064456784729</v>
      </c>
      <c r="J83" s="37">
        <f t="shared" si="2"/>
        <v>37.974338433686732</v>
      </c>
      <c r="K83" s="37">
        <f t="shared" si="3"/>
        <v>37.585462633573897</v>
      </c>
      <c r="L83" s="37">
        <f t="shared" si="4"/>
        <v>48.367375316836366</v>
      </c>
      <c r="M83" s="37">
        <f t="shared" si="5"/>
        <v>47.453601823210832</v>
      </c>
      <c r="N83" s="38">
        <f t="shared" si="6"/>
        <v>214.375</v>
      </c>
      <c r="O83" s="38">
        <f t="shared" si="34"/>
        <v>153.125</v>
      </c>
      <c r="P83" s="16">
        <f t="shared" si="7"/>
        <v>8.1407488017215943</v>
      </c>
      <c r="Q83" s="16">
        <f t="shared" si="8"/>
        <v>7.4062543453905691</v>
      </c>
      <c r="R83" s="18">
        <f t="shared" si="9"/>
        <v>-2.3320504720668245</v>
      </c>
      <c r="S83" s="38">
        <f t="shared" si="10"/>
        <v>70.743750000000006</v>
      </c>
      <c r="T83" s="38">
        <f t="shared" si="11"/>
        <v>153.125</v>
      </c>
      <c r="U83" s="16">
        <f t="shared" si="12"/>
        <v>2.6589365721838938</v>
      </c>
      <c r="V83" s="16">
        <f t="shared" si="13"/>
        <v>7.2663327791791588</v>
      </c>
      <c r="W83" s="18">
        <f t="shared" si="14"/>
        <v>-1.4887904027044578</v>
      </c>
      <c r="X83" s="18">
        <f t="shared" si="15"/>
        <v>10.861727818161768</v>
      </c>
      <c r="Y83" s="18">
        <f t="shared" si="16"/>
        <v>6.9341707335071341</v>
      </c>
      <c r="Z83" s="39">
        <f t="shared" si="35"/>
        <v>0.5</v>
      </c>
      <c r="AA83" s="18">
        <f t="shared" si="17"/>
        <v>-7.4999999999999997E-2</v>
      </c>
      <c r="AB83" s="18">
        <f t="shared" si="18"/>
        <v>0.34931902037272439</v>
      </c>
      <c r="AC83" s="18">
        <f t="shared" si="19"/>
        <v>2.3170244906818867</v>
      </c>
      <c r="AD83" s="18">
        <f t="shared" si="20"/>
        <v>-0.1084943780922344</v>
      </c>
      <c r="AE83" s="18">
        <f t="shared" si="21"/>
        <v>-0.68543426114955031</v>
      </c>
      <c r="AF83" s="18">
        <f t="shared" si="22"/>
        <v>-2.6038650742136252E-2</v>
      </c>
      <c r="AG83" s="18">
        <f t="shared" si="36"/>
        <v>-0.16450422267589204</v>
      </c>
      <c r="AH83" s="19">
        <f t="shared" si="37"/>
        <v>-1.0896025554990896</v>
      </c>
      <c r="AI83" s="19">
        <f t="shared" si="23"/>
        <v>-9.7116492236869689E-2</v>
      </c>
      <c r="AJ83" s="40">
        <f t="shared" si="24"/>
        <v>-8.0237732890062219</v>
      </c>
      <c r="AK83" s="40">
        <f t="shared" si="25"/>
        <v>-7.031287225744002</v>
      </c>
      <c r="AL83" s="40">
        <f t="shared" si="26"/>
        <v>10.176293557012217</v>
      </c>
      <c r="AM83" s="40">
        <f t="shared" si="27"/>
        <v>9.0866910015131275</v>
      </c>
      <c r="AN83" s="40">
        <f t="shared" si="38"/>
        <v>9.1838074937499972</v>
      </c>
      <c r="AO83" s="40">
        <f t="shared" si="28"/>
        <v>2.1525202680059947</v>
      </c>
      <c r="AP83" s="17">
        <f t="shared" si="29"/>
        <v>0.69863804074544877</v>
      </c>
    </row>
    <row r="84" spans="2:58" x14ac:dyDescent="0.2">
      <c r="B84" s="2">
        <v>7</v>
      </c>
      <c r="C84" s="2">
        <f t="shared" si="30"/>
        <v>2015</v>
      </c>
      <c r="D84" s="36">
        <f t="shared" si="39"/>
        <v>14.579346520930102</v>
      </c>
      <c r="E84" s="36">
        <f t="shared" si="31"/>
        <v>14.52141186883709</v>
      </c>
      <c r="F84" s="36">
        <f t="shared" si="32"/>
        <v>2.1810457877906559</v>
      </c>
      <c r="G84" s="36">
        <f t="shared" si="33"/>
        <v>2.1629412090115907</v>
      </c>
      <c r="H84" s="37">
        <f t="shared" si="0"/>
        <v>88.907520258133587</v>
      </c>
      <c r="I84" s="37">
        <f t="shared" si="1"/>
        <v>87.322654831189936</v>
      </c>
      <c r="J84" s="37">
        <f t="shared" si="2"/>
        <v>38.733387103955394</v>
      </c>
      <c r="K84" s="37">
        <f t="shared" si="3"/>
        <v>38.265602383818631</v>
      </c>
      <c r="L84" s="37">
        <f t="shared" si="4"/>
        <v>50.174133154178193</v>
      </c>
      <c r="M84" s="37">
        <f t="shared" si="5"/>
        <v>49.057052447371305</v>
      </c>
      <c r="N84" s="38">
        <f t="shared" si="6"/>
        <v>222.25</v>
      </c>
      <c r="O84" s="38">
        <f t="shared" si="34"/>
        <v>158.75</v>
      </c>
      <c r="P84" s="16">
        <f t="shared" si="7"/>
        <v>8.6084952838540865</v>
      </c>
      <c r="Q84" s="16">
        <f t="shared" si="8"/>
        <v>7.9651436382257881</v>
      </c>
      <c r="R84" s="18">
        <f t="shared" si="9"/>
        <v>-2.486045838311981</v>
      </c>
      <c r="S84" s="38">
        <f t="shared" si="10"/>
        <v>73.342500000000001</v>
      </c>
      <c r="T84" s="38">
        <f t="shared" si="11"/>
        <v>158.75</v>
      </c>
      <c r="U84" s="16">
        <f t="shared" si="12"/>
        <v>2.8064949428352182</v>
      </c>
      <c r="V84" s="16">
        <f t="shared" si="13"/>
        <v>7.7878070760201945</v>
      </c>
      <c r="W84" s="18">
        <f t="shared" si="14"/>
        <v>-1.5891453028283118</v>
      </c>
      <c r="X84" s="18">
        <f t="shared" si="15"/>
        <v>11.133629446677302</v>
      </c>
      <c r="Y84" s="18">
        <f t="shared" si="16"/>
        <v>7.1169061591525944</v>
      </c>
      <c r="Z84" s="39">
        <f t="shared" si="35"/>
        <v>0.5</v>
      </c>
      <c r="AA84" s="18">
        <f t="shared" si="17"/>
        <v>-7.4999999999999997E-2</v>
      </c>
      <c r="AB84" s="18">
        <f t="shared" si="18"/>
        <v>0.33588367343531189</v>
      </c>
      <c r="AC84" s="18">
        <f t="shared" si="19"/>
        <v>2.6529081641171985</v>
      </c>
      <c r="AD84" s="18">
        <f t="shared" si="20"/>
        <v>-0.10621827225813157</v>
      </c>
      <c r="AE84" s="18">
        <f t="shared" si="21"/>
        <v>-0.79165253340768182</v>
      </c>
      <c r="AF84" s="18">
        <f t="shared" si="22"/>
        <v>-2.5492385341951574E-2</v>
      </c>
      <c r="AG84" s="18">
        <f t="shared" si="36"/>
        <v>-0.18999660801784363</v>
      </c>
      <c r="AH84" s="19">
        <f t="shared" si="37"/>
        <v>-0.76215919801767029</v>
      </c>
      <c r="AI84" s="19">
        <f t="shared" si="23"/>
        <v>0.3960102215019532</v>
      </c>
      <c r="AJ84" s="40">
        <f t="shared" si="24"/>
        <v>-7.8790653571702656</v>
      </c>
      <c r="AK84" s="40">
        <f t="shared" si="25"/>
        <v>-6.7208959376506421</v>
      </c>
      <c r="AL84" s="40">
        <f t="shared" si="26"/>
        <v>10.341976913269621</v>
      </c>
      <c r="AM84" s="40">
        <f t="shared" si="27"/>
        <v>9.5798177152519504</v>
      </c>
      <c r="AN84" s="40">
        <f t="shared" si="38"/>
        <v>9.1838074937499972</v>
      </c>
      <c r="AO84" s="40">
        <f t="shared" si="28"/>
        <v>2.4629115560993551</v>
      </c>
      <c r="AP84" s="17">
        <f t="shared" si="29"/>
        <v>0.67176734687062389</v>
      </c>
    </row>
    <row r="85" spans="2:58" x14ac:dyDescent="0.2">
      <c r="B85" s="2">
        <v>8</v>
      </c>
      <c r="C85" s="2">
        <f t="shared" si="30"/>
        <v>2016</v>
      </c>
      <c r="D85" s="36">
        <f t="shared" si="39"/>
        <v>14.672553055720801</v>
      </c>
      <c r="E85" s="36">
        <f t="shared" si="31"/>
        <v>14.605297750148718</v>
      </c>
      <c r="F85" s="36">
        <f t="shared" si="32"/>
        <v>2.2101728299127492</v>
      </c>
      <c r="G85" s="36">
        <f t="shared" si="33"/>
        <v>2.1891555469214747</v>
      </c>
      <c r="H85" s="37">
        <f t="shared" si="0"/>
        <v>91.49772734262973</v>
      </c>
      <c r="I85" s="37">
        <f t="shared" si="1"/>
        <v>89.623677143613406</v>
      </c>
      <c r="J85" s="37">
        <f t="shared" si="2"/>
        <v>39.490660967277876</v>
      </c>
      <c r="K85" s="37">
        <f t="shared" si="3"/>
        <v>38.943651437163695</v>
      </c>
      <c r="L85" s="37">
        <f t="shared" si="4"/>
        <v>52.007066375351855</v>
      </c>
      <c r="M85" s="37">
        <f t="shared" si="5"/>
        <v>50.680025706449712</v>
      </c>
      <c r="N85" s="38">
        <f t="shared" si="6"/>
        <v>230.125</v>
      </c>
      <c r="O85" s="38">
        <f t="shared" si="34"/>
        <v>164.375</v>
      </c>
      <c r="P85" s="16">
        <f t="shared" si="7"/>
        <v>9.0877883550948209</v>
      </c>
      <c r="Q85" s="16">
        <f t="shared" si="8"/>
        <v>8.5486615354484599</v>
      </c>
      <c r="R85" s="18">
        <f t="shared" si="9"/>
        <v>-2.6454674835814922</v>
      </c>
      <c r="S85" s="38">
        <f t="shared" si="10"/>
        <v>75.941249999999997</v>
      </c>
      <c r="T85" s="38">
        <f t="shared" si="11"/>
        <v>164.375</v>
      </c>
      <c r="U85" s="16">
        <f t="shared" si="12"/>
        <v>2.9574295697025077</v>
      </c>
      <c r="V85" s="16">
        <f t="shared" si="13"/>
        <v>8.3305292254976706</v>
      </c>
      <c r="W85" s="18">
        <f t="shared" si="14"/>
        <v>-1.6931938192800269</v>
      </c>
      <c r="X85" s="18">
        <f t="shared" si="15"/>
        <v>11.391914568449007</v>
      </c>
      <c r="Y85" s="18">
        <f t="shared" si="16"/>
        <v>7.2912328186889903</v>
      </c>
      <c r="Z85" s="39">
        <f t="shared" si="35"/>
        <v>0.5</v>
      </c>
      <c r="AA85" s="18">
        <f t="shared" si="17"/>
        <v>-7.4999999999999997E-2</v>
      </c>
      <c r="AB85" s="18">
        <f t="shared" si="18"/>
        <v>0.32296507061087687</v>
      </c>
      <c r="AC85" s="18">
        <f t="shared" si="19"/>
        <v>2.9758732347280752</v>
      </c>
      <c r="AD85" s="18">
        <f t="shared" si="20"/>
        <v>-0.10395675684604226</v>
      </c>
      <c r="AE85" s="18">
        <f t="shared" si="21"/>
        <v>-0.89560929025372404</v>
      </c>
      <c r="AF85" s="18">
        <f t="shared" si="22"/>
        <v>-2.4949621643050136E-2</v>
      </c>
      <c r="AG85" s="18">
        <f t="shared" si="36"/>
        <v>-0.21494622966089377</v>
      </c>
      <c r="AH85" s="19">
        <f t="shared" si="37"/>
        <v>-0.44414545443911102</v>
      </c>
      <c r="AI85" s="19">
        <f t="shared" si="23"/>
        <v>0.86835233000617507</v>
      </c>
      <c r="AJ85" s="40">
        <f t="shared" si="24"/>
        <v>-7.7353782731281022</v>
      </c>
      <c r="AK85" s="40">
        <f t="shared" si="25"/>
        <v>-6.4228804886828161</v>
      </c>
      <c r="AL85" s="40">
        <f t="shared" si="26"/>
        <v>10.496305278195283</v>
      </c>
      <c r="AM85" s="40">
        <f t="shared" si="27"/>
        <v>10.052159823756172</v>
      </c>
      <c r="AN85" s="40">
        <f t="shared" si="38"/>
        <v>9.1838074937499972</v>
      </c>
      <c r="AO85" s="40">
        <f t="shared" si="28"/>
        <v>2.7609270050671815</v>
      </c>
      <c r="AP85" s="17">
        <f t="shared" si="29"/>
        <v>0.64593014122175385</v>
      </c>
    </row>
    <row r="86" spans="2:58" x14ac:dyDescent="0.2">
      <c r="B86" s="2">
        <v>9</v>
      </c>
      <c r="C86" s="2">
        <f t="shared" si="30"/>
        <v>2017</v>
      </c>
      <c r="D86" s="36">
        <f t="shared" si="39"/>
        <v>14.764827525163593</v>
      </c>
      <c r="E86" s="36">
        <f t="shared" si="31"/>
        <v>14.68834477264723</v>
      </c>
      <c r="F86" s="36">
        <f t="shared" si="32"/>
        <v>2.2390086016136217</v>
      </c>
      <c r="G86" s="36">
        <f t="shared" si="33"/>
        <v>2.2151077414522602</v>
      </c>
      <c r="H86" s="37">
        <f t="shared" si="0"/>
        <v>94.111637394628559</v>
      </c>
      <c r="I86" s="37">
        <f t="shared" si="1"/>
        <v>91.941552618468592</v>
      </c>
      <c r="J86" s="37">
        <f t="shared" si="2"/>
        <v>40.24606203969649</v>
      </c>
      <c r="K86" s="37">
        <f t="shared" si="3"/>
        <v>39.619536957636065</v>
      </c>
      <c r="L86" s="37">
        <f t="shared" si="4"/>
        <v>53.865575354932069</v>
      </c>
      <c r="M86" s="37">
        <f t="shared" si="5"/>
        <v>52.322015660832527</v>
      </c>
      <c r="N86" s="38">
        <f t="shared" si="6"/>
        <v>238</v>
      </c>
      <c r="O86" s="38">
        <f t="shared" si="34"/>
        <v>170</v>
      </c>
      <c r="P86" s="16">
        <f t="shared" si="7"/>
        <v>9.5785627654477636</v>
      </c>
      <c r="Q86" s="16">
        <f t="shared" si="8"/>
        <v>9.1571478103384525</v>
      </c>
      <c r="R86" s="18">
        <f t="shared" si="9"/>
        <v>-2.8103565863679321</v>
      </c>
      <c r="S86" s="38">
        <f t="shared" si="10"/>
        <v>78.539999999999992</v>
      </c>
      <c r="T86" s="38">
        <f t="shared" si="11"/>
        <v>170</v>
      </c>
      <c r="U86" s="16">
        <f t="shared" si="12"/>
        <v>3.1117184326527365</v>
      </c>
      <c r="V86" s="16">
        <f t="shared" si="13"/>
        <v>8.89474266234153</v>
      </c>
      <c r="W86" s="18">
        <f t="shared" si="14"/>
        <v>-1.8009691642491399</v>
      </c>
      <c r="X86" s="18">
        <f t="shared" si="15"/>
        <v>11.636500171257204</v>
      </c>
      <c r="Y86" s="18">
        <f t="shared" si="16"/>
        <v>7.4570529910222474</v>
      </c>
      <c r="Z86" s="39">
        <f t="shared" si="35"/>
        <v>0.5</v>
      </c>
      <c r="AA86" s="18">
        <f t="shared" si="17"/>
        <v>-7.4999999999999997E-2</v>
      </c>
      <c r="AB86" s="18">
        <f t="shared" si="18"/>
        <v>0.31054333712584309</v>
      </c>
      <c r="AC86" s="18">
        <f t="shared" si="19"/>
        <v>3.2864165718539184</v>
      </c>
      <c r="AD86" s="18">
        <f t="shared" si="20"/>
        <v>-0.10171207653627613</v>
      </c>
      <c r="AE86" s="18">
        <f t="shared" si="21"/>
        <v>-0.99732136679000016</v>
      </c>
      <c r="AF86" s="18">
        <f t="shared" si="22"/>
        <v>-2.4410898368706271E-2</v>
      </c>
      <c r="AG86" s="18">
        <f t="shared" si="36"/>
        <v>-0.23935712802960005</v>
      </c>
      <c r="AH86" s="19">
        <f t="shared" si="37"/>
        <v>-0.13506636962063645</v>
      </c>
      <c r="AI86" s="19">
        <f t="shared" si="23"/>
        <v>1.3203049410965697</v>
      </c>
      <c r="AJ86" s="40">
        <f t="shared" si="24"/>
        <v>-7.5921193606428847</v>
      </c>
      <c r="AK86" s="40">
        <f t="shared" si="25"/>
        <v>-6.1367480499256786</v>
      </c>
      <c r="AL86" s="40">
        <f t="shared" si="26"/>
        <v>10.639178804467203</v>
      </c>
      <c r="AM86" s="40">
        <f t="shared" si="27"/>
        <v>10.504112434846567</v>
      </c>
      <c r="AN86" s="40">
        <f t="shared" si="38"/>
        <v>9.1838074937499972</v>
      </c>
      <c r="AO86" s="40">
        <f t="shared" si="28"/>
        <v>3.0470594438243186</v>
      </c>
      <c r="AP86" s="17">
        <f t="shared" si="29"/>
        <v>0.62108667425168618</v>
      </c>
    </row>
    <row r="87" spans="2:58" x14ac:dyDescent="0.2">
      <c r="B87" s="2">
        <v>10</v>
      </c>
      <c r="C87" s="2">
        <f t="shared" si="30"/>
        <v>2018</v>
      </c>
      <c r="D87" s="36">
        <f t="shared" si="39"/>
        <v>14.856179249911957</v>
      </c>
      <c r="E87" s="36">
        <f t="shared" si="31"/>
        <v>14.770561324920758</v>
      </c>
      <c r="F87" s="36">
        <f t="shared" si="32"/>
        <v>2.2675560155974854</v>
      </c>
      <c r="G87" s="36">
        <f t="shared" si="33"/>
        <v>2.2408004140377376</v>
      </c>
      <c r="H87" s="37">
        <f t="shared" si="0"/>
        <v>96.748550038106487</v>
      </c>
      <c r="I87" s="37">
        <f t="shared" si="1"/>
        <v>94.275702787257387</v>
      </c>
      <c r="J87" s="37">
        <f t="shared" si="2"/>
        <v>40.999495620160431</v>
      </c>
      <c r="K87" s="37">
        <f t="shared" si="3"/>
        <v>40.293188703107049</v>
      </c>
      <c r="L87" s="37">
        <f t="shared" si="4"/>
        <v>55.749054417946056</v>
      </c>
      <c r="M87" s="37">
        <f t="shared" si="5"/>
        <v>53.982514084150338</v>
      </c>
      <c r="N87" s="38">
        <f t="shared" si="6"/>
        <v>245.875</v>
      </c>
      <c r="O87" s="38">
        <f t="shared" si="34"/>
        <v>175.625</v>
      </c>
      <c r="P87" s="16">
        <f t="shared" si="7"/>
        <v>10.080750985606947</v>
      </c>
      <c r="Q87" s="16">
        <f t="shared" si="8"/>
        <v>9.7909276821517768</v>
      </c>
      <c r="R87" s="18">
        <f t="shared" si="9"/>
        <v>-2.9807518001638083</v>
      </c>
      <c r="S87" s="38">
        <f t="shared" si="10"/>
        <v>81.138750000000002</v>
      </c>
      <c r="T87" s="38">
        <f t="shared" si="11"/>
        <v>175.625</v>
      </c>
      <c r="U87" s="16">
        <f t="shared" si="12"/>
        <v>3.269338964884227</v>
      </c>
      <c r="V87" s="16">
        <f t="shared" si="13"/>
        <v>9.4806790360289028</v>
      </c>
      <c r="W87" s="18">
        <f t="shared" si="14"/>
        <v>-1.9125027001369694</v>
      </c>
      <c r="X87" s="18">
        <f t="shared" si="15"/>
        <v>11.867341168804272</v>
      </c>
      <c r="Y87" s="18">
        <f t="shared" si="16"/>
        <v>7.6142944969579505</v>
      </c>
      <c r="Z87" s="39">
        <f t="shared" si="35"/>
        <v>0.5</v>
      </c>
      <c r="AA87" s="18">
        <f t="shared" si="17"/>
        <v>-7.4999999999999997E-2</v>
      </c>
      <c r="AB87" s="18">
        <f t="shared" si="18"/>
        <v>0.29859936262100295</v>
      </c>
      <c r="AC87" s="18">
        <f t="shared" si="19"/>
        <v>3.5850159344749213</v>
      </c>
      <c r="AD87" s="18">
        <f t="shared" si="20"/>
        <v>-9.9486281757962397E-2</v>
      </c>
      <c r="AE87" s="18">
        <f t="shared" si="21"/>
        <v>-1.0968076485479625</v>
      </c>
      <c r="AF87" s="18">
        <f t="shared" si="22"/>
        <v>-2.3876707621910971E-2</v>
      </c>
      <c r="AG87" s="18">
        <f t="shared" si="36"/>
        <v>-0.26323383565151104</v>
      </c>
      <c r="AH87" s="19">
        <f t="shared" si="37"/>
        <v>0.16554307552505243</v>
      </c>
      <c r="AI87" s="19">
        <f t="shared" si="23"/>
        <v>1.7522691020313648</v>
      </c>
      <c r="AJ87" s="40">
        <f t="shared" si="24"/>
        <v>-7.4487514214328989</v>
      </c>
      <c r="AK87" s="40">
        <f t="shared" si="25"/>
        <v>-5.8620253949265866</v>
      </c>
      <c r="AL87" s="40">
        <f t="shared" si="26"/>
        <v>10.77053352025631</v>
      </c>
      <c r="AM87" s="40">
        <f t="shared" si="27"/>
        <v>10.936076595781362</v>
      </c>
      <c r="AN87" s="40">
        <f t="shared" si="38"/>
        <v>9.1838074937499972</v>
      </c>
      <c r="AO87" s="40">
        <f t="shared" si="28"/>
        <v>3.3217820988234101</v>
      </c>
      <c r="AP87" s="17">
        <f t="shared" si="29"/>
        <v>0.5971987252420059</v>
      </c>
    </row>
    <row r="88" spans="2:58" x14ac:dyDescent="0.2">
      <c r="B88" s="2">
        <v>11</v>
      </c>
      <c r="C88" s="2">
        <f t="shared" si="30"/>
        <v>2019</v>
      </c>
      <c r="D88" s="36">
        <f t="shared" si="39"/>
        <v>14.946617457412838</v>
      </c>
      <c r="E88" s="36">
        <f t="shared" si="31"/>
        <v>14.85195571167155</v>
      </c>
      <c r="F88" s="36">
        <f t="shared" si="32"/>
        <v>2.2958179554415103</v>
      </c>
      <c r="G88" s="36">
        <f t="shared" si="33"/>
        <v>2.2662361598973604</v>
      </c>
      <c r="H88" s="37">
        <f t="shared" si="0"/>
        <v>99.40776301402633</v>
      </c>
      <c r="I88" s="37">
        <f t="shared" si="1"/>
        <v>96.625550065033337</v>
      </c>
      <c r="J88" s="37">
        <f t="shared" si="2"/>
        <v>41.750870211865774</v>
      </c>
      <c r="K88" s="37">
        <f t="shared" si="3"/>
        <v>40.964538962230577</v>
      </c>
      <c r="L88" s="37">
        <f t="shared" si="4"/>
        <v>57.656892802160556</v>
      </c>
      <c r="M88" s="37">
        <f t="shared" si="5"/>
        <v>55.66101110280276</v>
      </c>
      <c r="N88" s="38">
        <f t="shared" si="6"/>
        <v>253.75</v>
      </c>
      <c r="O88" s="38">
        <f t="shared" si="34"/>
        <v>181.25</v>
      </c>
      <c r="P88" s="16">
        <f t="shared" si="7"/>
        <v>10.594283316260938</v>
      </c>
      <c r="Q88" s="16">
        <f t="shared" si="8"/>
        <v>10.450311820391601</v>
      </c>
      <c r="R88" s="18">
        <f t="shared" si="9"/>
        <v>-3.1566892704978806</v>
      </c>
      <c r="S88" s="38">
        <f t="shared" si="10"/>
        <v>83.737499999999997</v>
      </c>
      <c r="T88" s="38">
        <f t="shared" si="11"/>
        <v>181.25</v>
      </c>
      <c r="U88" s="16">
        <f t="shared" si="12"/>
        <v>3.4302680813497828</v>
      </c>
      <c r="V88" s="16">
        <f t="shared" si="13"/>
        <v>10.088558262383</v>
      </c>
      <c r="W88" s="18">
        <f t="shared" si="14"/>
        <v>-2.0278239515599172</v>
      </c>
      <c r="X88" s="18">
        <f t="shared" si="15"/>
        <v>12.084428258502896</v>
      </c>
      <c r="Y88" s="18">
        <f t="shared" si="16"/>
        <v>7.7629094800435254</v>
      </c>
      <c r="Z88" s="39">
        <f t="shared" si="35"/>
        <v>0.5</v>
      </c>
      <c r="AA88" s="18">
        <f t="shared" si="17"/>
        <v>-7.4999999999999997E-2</v>
      </c>
      <c r="AB88" s="18">
        <f t="shared" si="18"/>
        <v>0.28711477175096439</v>
      </c>
      <c r="AC88" s="18">
        <f t="shared" si="19"/>
        <v>3.8721307062258856</v>
      </c>
      <c r="AD88" s="18">
        <f t="shared" si="20"/>
        <v>-9.7281240310914979E-2</v>
      </c>
      <c r="AE88" s="18">
        <f t="shared" si="21"/>
        <v>-1.1940888888588774</v>
      </c>
      <c r="AF88" s="18">
        <f t="shared" si="22"/>
        <v>-2.3347497674619595E-2</v>
      </c>
      <c r="AG88" s="18">
        <f t="shared" si="36"/>
        <v>-0.28658133332613062</v>
      </c>
      <c r="AH88" s="19">
        <f t="shared" si="37"/>
        <v>0.45811948329926011</v>
      </c>
      <c r="AI88" s="19">
        <f t="shared" si="23"/>
        <v>2.1646513591932823</v>
      </c>
      <c r="AJ88" s="40">
        <f t="shared" si="24"/>
        <v>-7.3047899967442644</v>
      </c>
      <c r="AK88" s="40">
        <f t="shared" si="25"/>
        <v>-5.5982581208502422</v>
      </c>
      <c r="AL88" s="40">
        <f t="shared" si="26"/>
        <v>10.890339369644019</v>
      </c>
      <c r="AM88" s="40">
        <f t="shared" si="27"/>
        <v>11.348458852943279</v>
      </c>
      <c r="AN88" s="40">
        <f t="shared" si="38"/>
        <v>9.1838074937499972</v>
      </c>
      <c r="AO88" s="40">
        <f t="shared" si="28"/>
        <v>3.5855493728997549</v>
      </c>
      <c r="AP88" s="17">
        <f t="shared" si="29"/>
        <v>0.57422954350192867</v>
      </c>
    </row>
    <row r="89" spans="2:58" x14ac:dyDescent="0.2">
      <c r="B89" s="2">
        <v>12</v>
      </c>
      <c r="C89" s="2">
        <f t="shared" si="30"/>
        <v>2020</v>
      </c>
      <c r="D89" s="36">
        <f t="shared" si="39"/>
        <v>15.036151282838709</v>
      </c>
      <c r="E89" s="36">
        <f t="shared" si="31"/>
        <v>14.932536154554835</v>
      </c>
      <c r="F89" s="36">
        <f t="shared" si="32"/>
        <v>2.3237972758870953</v>
      </c>
      <c r="G89" s="36">
        <f t="shared" si="33"/>
        <v>2.2914175482983867</v>
      </c>
      <c r="H89" s="37">
        <f t="shared" si="0"/>
        <v>102.08857301430706</v>
      </c>
      <c r="I89" s="37">
        <f t="shared" si="1"/>
        <v>98.990518292889533</v>
      </c>
      <c r="J89" s="37">
        <f t="shared" si="2"/>
        <v>42.500097445293846</v>
      </c>
      <c r="K89" s="37">
        <f t="shared" si="3"/>
        <v>41.63352249275114</v>
      </c>
      <c r="L89" s="37">
        <f t="shared" si="4"/>
        <v>59.588475569013212</v>
      </c>
      <c r="M89" s="37">
        <f t="shared" si="5"/>
        <v>57.356995800138392</v>
      </c>
      <c r="N89" s="38">
        <f t="shared" si="6"/>
        <v>261.625</v>
      </c>
      <c r="O89" s="38">
        <f t="shared" si="34"/>
        <v>186.875</v>
      </c>
      <c r="P89" s="16">
        <f t="shared" si="7"/>
        <v>11.119087994125003</v>
      </c>
      <c r="Q89" s="16">
        <f t="shared" si="8"/>
        <v>11.135596371959345</v>
      </c>
      <c r="R89" s="18">
        <f t="shared" si="9"/>
        <v>-3.338202654912652</v>
      </c>
      <c r="S89" s="38">
        <f t="shared" si="10"/>
        <v>86.336250000000007</v>
      </c>
      <c r="T89" s="38">
        <f t="shared" si="11"/>
        <v>186.875</v>
      </c>
      <c r="U89" s="16">
        <f t="shared" si="12"/>
        <v>3.5944822063147859</v>
      </c>
      <c r="V89" s="16">
        <f t="shared" si="13"/>
        <v>10.718588590150862</v>
      </c>
      <c r="W89" s="18">
        <f t="shared" si="14"/>
        <v>-2.1469606194698474</v>
      </c>
      <c r="X89" s="18">
        <f t="shared" si="15"/>
        <v>12.287785811842429</v>
      </c>
      <c r="Y89" s="18">
        <f t="shared" si="16"/>
        <v>7.9028731822742859</v>
      </c>
      <c r="Z89" s="39">
        <f t="shared" si="35"/>
        <v>0.5</v>
      </c>
      <c r="AA89" s="18">
        <f t="shared" si="17"/>
        <v>-7.4999999999999997E-2</v>
      </c>
      <c r="AB89" s="18">
        <f t="shared" si="18"/>
        <v>0.27607189591438885</v>
      </c>
      <c r="AC89" s="18">
        <f t="shared" si="19"/>
        <v>4.1482026021402749</v>
      </c>
      <c r="AD89" s="18">
        <f t="shared" si="20"/>
        <v>-9.5098648380862419E-2</v>
      </c>
      <c r="AE89" s="18">
        <f t="shared" si="21"/>
        <v>-1.2891875372397399</v>
      </c>
      <c r="AF89" s="18">
        <f t="shared" si="22"/>
        <v>-2.2823675611406975E-2</v>
      </c>
      <c r="AG89" s="18">
        <f t="shared" si="36"/>
        <v>-0.30940500893753758</v>
      </c>
      <c r="AH89" s="19">
        <f t="shared" si="37"/>
        <v>0.74307250087433552</v>
      </c>
      <c r="AI89" s="19">
        <f t="shared" si="23"/>
        <v>2.5578632817270268</v>
      </c>
      <c r="AJ89" s="40">
        <f t="shared" si="24"/>
        <v>-7.1598006813999513</v>
      </c>
      <c r="AK89" s="40">
        <f t="shared" si="25"/>
        <v>-5.34500990054726</v>
      </c>
      <c r="AL89" s="40">
        <f t="shared" si="26"/>
        <v>10.998598274602688</v>
      </c>
      <c r="AM89" s="40">
        <f t="shared" si="27"/>
        <v>11.741670775477024</v>
      </c>
      <c r="AN89" s="40">
        <f t="shared" si="38"/>
        <v>9.1838074937499972</v>
      </c>
      <c r="AO89" s="40">
        <f t="shared" si="28"/>
        <v>3.8387975932027372</v>
      </c>
      <c r="AP89" s="17">
        <f t="shared" si="29"/>
        <v>0.55214379182877771</v>
      </c>
    </row>
    <row r="90" spans="2:58" x14ac:dyDescent="0.2">
      <c r="B90" s="2">
        <v>13</v>
      </c>
      <c r="C90" s="2">
        <f t="shared" si="30"/>
        <v>2021</v>
      </c>
      <c r="D90" s="36">
        <f t="shared" si="39"/>
        <v>15.124789770010322</v>
      </c>
      <c r="E90" s="36">
        <f t="shared" si="31"/>
        <v>15.012310793009288</v>
      </c>
      <c r="F90" s="36">
        <f t="shared" si="32"/>
        <v>2.3514968031282244</v>
      </c>
      <c r="G90" s="36">
        <f t="shared" si="33"/>
        <v>2.3163471228154027</v>
      </c>
      <c r="H90" s="37">
        <f t="shared" si="0"/>
        <v>104.79027646831642</v>
      </c>
      <c r="I90" s="37">
        <f t="shared" si="1"/>
        <v>101.37003324797479</v>
      </c>
      <c r="J90" s="37">
        <f t="shared" si="2"/>
        <v>43.247092002913405</v>
      </c>
      <c r="K90" s="37">
        <f t="shared" si="3"/>
        <v>42.300076461152372</v>
      </c>
      <c r="L90" s="37">
        <f t="shared" si="4"/>
        <v>61.543184465403016</v>
      </c>
      <c r="M90" s="37">
        <f t="shared" si="5"/>
        <v>59.069956786822416</v>
      </c>
      <c r="N90" s="38">
        <f t="shared" si="6"/>
        <v>269.5</v>
      </c>
      <c r="O90" s="38">
        <f t="shared" si="34"/>
        <v>192.5</v>
      </c>
      <c r="P90" s="16">
        <f t="shared" si="7"/>
        <v>11.655091294785164</v>
      </c>
      <c r="Q90" s="16">
        <f t="shared" si="8"/>
        <v>11.84706300959008</v>
      </c>
      <c r="R90" s="18">
        <f t="shared" si="9"/>
        <v>-3.5253231456562868</v>
      </c>
      <c r="S90" s="38">
        <f t="shared" si="10"/>
        <v>88.935000000000002</v>
      </c>
      <c r="T90" s="38">
        <f t="shared" si="11"/>
        <v>192.5</v>
      </c>
      <c r="U90" s="16">
        <f t="shared" si="12"/>
        <v>3.7619573000725861</v>
      </c>
      <c r="V90" s="16">
        <f t="shared" si="13"/>
        <v>11.370966681463315</v>
      </c>
      <c r="W90" s="18">
        <f t="shared" si="14"/>
        <v>-2.2699385972303849</v>
      </c>
      <c r="X90" s="18">
        <f t="shared" si="15"/>
        <v>12.477469801694976</v>
      </c>
      <c r="Y90" s="18">
        <f t="shared" si="16"/>
        <v>8.0341827198287259</v>
      </c>
      <c r="Z90" s="39">
        <f t="shared" si="35"/>
        <v>0.5</v>
      </c>
      <c r="AA90" s="18">
        <f t="shared" si="17"/>
        <v>-7.4999999999999997E-2</v>
      </c>
      <c r="AB90" s="18">
        <f t="shared" si="18"/>
        <v>0.26545374607152766</v>
      </c>
      <c r="AC90" s="18">
        <f t="shared" si="19"/>
        <v>4.413656348211803</v>
      </c>
      <c r="AD90" s="18">
        <f t="shared" si="20"/>
        <v>-9.2940040977513683E-2</v>
      </c>
      <c r="AE90" s="18">
        <f t="shared" si="21"/>
        <v>-1.3821275782172535</v>
      </c>
      <c r="AF90" s="18">
        <f t="shared" si="22"/>
        <v>-2.2305609834603283E-2</v>
      </c>
      <c r="AG90" s="18">
        <f t="shared" si="36"/>
        <v>-0.33171061877214086</v>
      </c>
      <c r="AH90" s="19">
        <f t="shared" si="37"/>
        <v>1.0207862257906672</v>
      </c>
      <c r="AI90" s="19">
        <f t="shared" si="23"/>
        <v>2.9323209555183922</v>
      </c>
      <c r="AJ90" s="40">
        <f t="shared" si="24"/>
        <v>-7.0133964940380604</v>
      </c>
      <c r="AK90" s="40">
        <f t="shared" si="25"/>
        <v>-5.1018617643103354</v>
      </c>
      <c r="AL90" s="40">
        <f t="shared" si="26"/>
        <v>11.095342223477722</v>
      </c>
      <c r="AM90" s="40">
        <f t="shared" si="27"/>
        <v>12.116128449268389</v>
      </c>
      <c r="AN90" s="40">
        <f t="shared" si="38"/>
        <v>9.1838074937499972</v>
      </c>
      <c r="AO90" s="40">
        <f t="shared" si="28"/>
        <v>4.0819457294396617</v>
      </c>
      <c r="AP90" s="17">
        <f t="shared" si="29"/>
        <v>0.53090749214305544</v>
      </c>
    </row>
    <row r="91" spans="2:58" x14ac:dyDescent="0.2">
      <c r="B91" s="2">
        <v>14</v>
      </c>
      <c r="C91" s="2">
        <f t="shared" si="30"/>
        <v>2022</v>
      </c>
      <c r="D91" s="36">
        <f t="shared" si="39"/>
        <v>15.212541872310219</v>
      </c>
      <c r="E91" s="36">
        <f t="shared" si="31"/>
        <v>15.091287685079195</v>
      </c>
      <c r="F91" s="36">
        <f t="shared" si="32"/>
        <v>2.378919335096942</v>
      </c>
      <c r="G91" s="36">
        <f t="shared" si="33"/>
        <v>2.3410274015872488</v>
      </c>
      <c r="H91" s="37">
        <f t="shared" si="0"/>
        <v>107.51217028397429</v>
      </c>
      <c r="I91" s="37">
        <f t="shared" si="1"/>
        <v>103.76352312247957</v>
      </c>
      <c r="J91" s="37">
        <f t="shared" si="2"/>
        <v>43.991771545511682</v>
      </c>
      <c r="K91" s="37">
        <f t="shared" si="3"/>
        <v>42.964140383619053</v>
      </c>
      <c r="L91" s="37">
        <f t="shared" si="4"/>
        <v>63.520398738462603</v>
      </c>
      <c r="M91" s="37">
        <f t="shared" si="5"/>
        <v>60.799382738860515</v>
      </c>
      <c r="N91" s="38">
        <f t="shared" si="6"/>
        <v>277.375</v>
      </c>
      <c r="O91" s="38">
        <f t="shared" si="34"/>
        <v>198.125</v>
      </c>
      <c r="P91" s="16">
        <f t="shared" si="7"/>
        <v>12.202217632436302</v>
      </c>
      <c r="Q91" s="16">
        <f t="shared" si="8"/>
        <v>12.584979000057903</v>
      </c>
      <c r="R91" s="18">
        <f t="shared" si="9"/>
        <v>-3.7180794948741305</v>
      </c>
      <c r="S91" s="38">
        <f t="shared" si="10"/>
        <v>91.533749999999998</v>
      </c>
      <c r="T91" s="38">
        <f t="shared" si="11"/>
        <v>198.125</v>
      </c>
      <c r="U91" s="16">
        <f t="shared" si="12"/>
        <v>3.9326688848390905</v>
      </c>
      <c r="V91" s="16">
        <f t="shared" si="13"/>
        <v>12.045877705136739</v>
      </c>
      <c r="W91" s="18">
        <f t="shared" si="14"/>
        <v>-2.3967819884963744</v>
      </c>
      <c r="X91" s="18">
        <f t="shared" si="15"/>
        <v>12.65356577059066</v>
      </c>
      <c r="Y91" s="18">
        <f t="shared" si="16"/>
        <v>8.1568558636298434</v>
      </c>
      <c r="Z91" s="39">
        <f t="shared" si="35"/>
        <v>0.5</v>
      </c>
      <c r="AA91" s="18">
        <f t="shared" si="17"/>
        <v>-7.4999999999999997E-2</v>
      </c>
      <c r="AB91" s="18">
        <f t="shared" si="18"/>
        <v>0.25524398660723813</v>
      </c>
      <c r="AC91" s="18">
        <f t="shared" si="19"/>
        <v>4.6689003348190408</v>
      </c>
      <c r="AD91" s="18">
        <f t="shared" si="20"/>
        <v>-9.0806801823563321E-2</v>
      </c>
      <c r="AE91" s="18">
        <f t="shared" si="21"/>
        <v>-1.4729343800408168</v>
      </c>
      <c r="AF91" s="18">
        <f t="shared" si="22"/>
        <v>-2.179363243765519E-2</v>
      </c>
      <c r="AG91" s="18">
        <f t="shared" si="36"/>
        <v>-0.35350425120979606</v>
      </c>
      <c r="AH91" s="19">
        <f t="shared" si="37"/>
        <v>1.2916205566892458</v>
      </c>
      <c r="AI91" s="19">
        <f t="shared" si="23"/>
        <v>3.2884444534890918</v>
      </c>
      <c r="AJ91" s="40">
        <f t="shared" si="24"/>
        <v>-6.8652353069405985</v>
      </c>
      <c r="AK91" s="40">
        <f t="shared" si="25"/>
        <v>-4.8684114101407525</v>
      </c>
      <c r="AL91" s="40">
        <f t="shared" si="26"/>
        <v>11.180631390549843</v>
      </c>
      <c r="AM91" s="40">
        <f t="shared" si="27"/>
        <v>12.472251947239089</v>
      </c>
      <c r="AN91" s="40">
        <f t="shared" si="38"/>
        <v>9.1838074937499972</v>
      </c>
      <c r="AO91" s="40">
        <f t="shared" si="28"/>
        <v>4.3153960836092446</v>
      </c>
      <c r="AP91" s="17">
        <f t="shared" si="29"/>
        <v>0.51048797321447636</v>
      </c>
    </row>
    <row r="92" spans="2:58" x14ac:dyDescent="0.2">
      <c r="B92" s="2">
        <v>15</v>
      </c>
      <c r="C92" s="2">
        <f t="shared" si="30"/>
        <v>2023</v>
      </c>
      <c r="D92" s="36">
        <f t="shared" si="39"/>
        <v>15.299416453587117</v>
      </c>
      <c r="E92" s="36">
        <f t="shared" si="31"/>
        <v>15.169474808228403</v>
      </c>
      <c r="F92" s="36">
        <f t="shared" si="32"/>
        <v>2.4060676417459725</v>
      </c>
      <c r="G92" s="36">
        <f t="shared" si="33"/>
        <v>2.3654608775713761</v>
      </c>
      <c r="H92" s="37">
        <f t="shared" si="0"/>
        <v>110.25355254547469</v>
      </c>
      <c r="I92" s="37">
        <f t="shared" si="1"/>
        <v>106.17041897297881</v>
      </c>
      <c r="J92" s="37">
        <f t="shared" si="2"/>
        <v>44.734056640120855</v>
      </c>
      <c r="K92" s="37">
        <f t="shared" si="3"/>
        <v>43.625656068284925</v>
      </c>
      <c r="L92" s="37">
        <f t="shared" si="4"/>
        <v>65.519495905353835</v>
      </c>
      <c r="M92" s="37">
        <f t="shared" si="5"/>
        <v>62.544762904693883</v>
      </c>
      <c r="N92" s="38">
        <f t="shared" si="6"/>
        <v>285.25</v>
      </c>
      <c r="O92" s="38">
        <f t="shared" si="34"/>
        <v>203.75</v>
      </c>
      <c r="P92" s="16">
        <f t="shared" si="7"/>
        <v>12.760389656594475</v>
      </c>
      <c r="Q92" s="16">
        <f t="shared" si="8"/>
        <v>13.349597290715844</v>
      </c>
      <c r="R92" s="18">
        <f t="shared" si="9"/>
        <v>-3.9164980420965474</v>
      </c>
      <c r="S92" s="38">
        <f t="shared" si="10"/>
        <v>94.132499999999993</v>
      </c>
      <c r="T92" s="38">
        <f t="shared" si="11"/>
        <v>203.75</v>
      </c>
      <c r="U92" s="16">
        <f t="shared" si="12"/>
        <v>4.1065920698478307</v>
      </c>
      <c r="V92" s="16">
        <f t="shared" si="13"/>
        <v>12.743495441831378</v>
      </c>
      <c r="W92" s="18">
        <f t="shared" si="14"/>
        <v>-2.5275131267518813</v>
      </c>
      <c r="X92" s="18">
        <f t="shared" si="15"/>
        <v>12.816186843643148</v>
      </c>
      <c r="Y92" s="18">
        <f t="shared" si="16"/>
        <v>8.2709298291573834</v>
      </c>
      <c r="Z92" s="39">
        <f t="shared" si="35"/>
        <v>0.5</v>
      </c>
      <c r="AA92" s="18">
        <f t="shared" si="17"/>
        <v>-7.4999999999999997E-2</v>
      </c>
      <c r="AB92" s="18">
        <f t="shared" si="18"/>
        <v>0.24542691019926746</v>
      </c>
      <c r="AC92" s="18">
        <f t="shared" si="19"/>
        <v>4.914327245018308</v>
      </c>
      <c r="AD92" s="18">
        <f t="shared" si="20"/>
        <v>-8.8700172721429354E-2</v>
      </c>
      <c r="AE92" s="18">
        <f t="shared" si="21"/>
        <v>-1.5616345527622462</v>
      </c>
      <c r="AF92" s="18">
        <f t="shared" si="22"/>
        <v>-2.1288041453143045E-2</v>
      </c>
      <c r="AG92" s="18">
        <f t="shared" si="36"/>
        <v>-0.37479229266293912</v>
      </c>
      <c r="AH92" s="19">
        <f t="shared" si="37"/>
        <v>1.5559124906318509</v>
      </c>
      <c r="AI92" s="19">
        <f t="shared" si="23"/>
        <v>3.6266572877627556</v>
      </c>
      <c r="AJ92" s="40">
        <f t="shared" si="24"/>
        <v>-6.7150173385255334</v>
      </c>
      <c r="AK92" s="40">
        <f t="shared" si="25"/>
        <v>-4.6442725413946286</v>
      </c>
      <c r="AL92" s="40">
        <f t="shared" si="26"/>
        <v>11.254552290880902</v>
      </c>
      <c r="AM92" s="40">
        <f t="shared" si="27"/>
        <v>12.810464781512753</v>
      </c>
      <c r="AN92" s="40">
        <f t="shared" si="38"/>
        <v>9.1838074937499972</v>
      </c>
      <c r="AO92" s="40">
        <f t="shared" si="28"/>
        <v>4.5395349523553685</v>
      </c>
      <c r="AP92" s="17">
        <f t="shared" si="29"/>
        <v>0.49085382039853487</v>
      </c>
    </row>
    <row r="93" spans="2:58" x14ac:dyDescent="0.2">
      <c r="B93" s="2">
        <v>16</v>
      </c>
      <c r="C93" s="2">
        <f t="shared" si="30"/>
        <v>2024</v>
      </c>
      <c r="D93" s="36">
        <f t="shared" si="39"/>
        <v>15.385422289051245</v>
      </c>
      <c r="E93" s="36">
        <f t="shared" si="31"/>
        <v>15.246880060146118</v>
      </c>
      <c r="F93" s="36">
        <f t="shared" si="32"/>
        <v>2.4329444653285126</v>
      </c>
      <c r="G93" s="36">
        <f t="shared" si="33"/>
        <v>2.3896500187956624</v>
      </c>
      <c r="H93" s="37">
        <f t="shared" si="0"/>
        <v>113.01372316955084</v>
      </c>
      <c r="I93" s="37">
        <f t="shared" si="1"/>
        <v>108.59015514145801</v>
      </c>
      <c r="J93" s="37">
        <f t="shared" si="2"/>
        <v>45.473870689506782</v>
      </c>
      <c r="K93" s="37">
        <f t="shared" si="3"/>
        <v>44.284567558739653</v>
      </c>
      <c r="L93" s="37">
        <f t="shared" si="4"/>
        <v>67.539852480044061</v>
      </c>
      <c r="M93" s="37">
        <f t="shared" si="5"/>
        <v>64.30558758271836</v>
      </c>
      <c r="N93" s="38">
        <f t="shared" si="6"/>
        <v>293.125</v>
      </c>
      <c r="O93" s="38">
        <f t="shared" si="34"/>
        <v>209.375</v>
      </c>
      <c r="P93" s="16">
        <f t="shared" si="7"/>
        <v>13.329528345861677</v>
      </c>
      <c r="Q93" s="16">
        <f t="shared" si="8"/>
        <v>14.141156613009226</v>
      </c>
      <c r="R93" s="18">
        <f t="shared" si="9"/>
        <v>-4.1206027438306352</v>
      </c>
      <c r="S93" s="38">
        <f t="shared" si="10"/>
        <v>96.731249999999989</v>
      </c>
      <c r="T93" s="38">
        <f t="shared" si="11"/>
        <v>209.375</v>
      </c>
      <c r="U93" s="16">
        <f t="shared" si="12"/>
        <v>4.2837015756663348</v>
      </c>
      <c r="V93" s="16">
        <f t="shared" si="13"/>
        <v>13.463982400131657</v>
      </c>
      <c r="W93" s="18">
        <f t="shared" si="14"/>
        <v>-2.6621525963696984</v>
      </c>
      <c r="X93" s="18">
        <f t="shared" si="15"/>
        <v>12.965471789448419</v>
      </c>
      <c r="Y93" s="18">
        <f t="shared" si="16"/>
        <v>8.3764600795637527</v>
      </c>
      <c r="Z93" s="39">
        <f t="shared" si="35"/>
        <v>0.5</v>
      </c>
      <c r="AA93" s="18">
        <f t="shared" si="17"/>
        <v>-7.4999999999999997E-2</v>
      </c>
      <c r="AB93" s="18">
        <f t="shared" si="18"/>
        <v>0.2359874136531418</v>
      </c>
      <c r="AC93" s="18">
        <f t="shared" si="19"/>
        <v>5.1503146586714497</v>
      </c>
      <c r="AD93" s="18">
        <f t="shared" si="20"/>
        <v>-8.6621262423270867E-2</v>
      </c>
      <c r="AE93" s="18">
        <f t="shared" si="21"/>
        <v>-1.6482558151855171</v>
      </c>
      <c r="AF93" s="18">
        <f t="shared" si="22"/>
        <v>-2.0789102981585005E-2</v>
      </c>
      <c r="AG93" s="18">
        <f t="shared" si="36"/>
        <v>-0.3955813956445241</v>
      </c>
      <c r="AH93" s="19">
        <f t="shared" si="37"/>
        <v>1.8139773683277784</v>
      </c>
      <c r="AI93" s="19">
        <f t="shared" si="23"/>
        <v>3.9473858488406819</v>
      </c>
      <c r="AJ93" s="40">
        <f t="shared" si="24"/>
        <v>-6.5624827112359752</v>
      </c>
      <c r="AK93" s="40">
        <f t="shared" si="25"/>
        <v>-4.4290742307230717</v>
      </c>
      <c r="AL93" s="40">
        <f t="shared" si="26"/>
        <v>11.317215974262901</v>
      </c>
      <c r="AM93" s="40">
        <f t="shared" si="27"/>
        <v>13.131193342590679</v>
      </c>
      <c r="AN93" s="40">
        <f t="shared" si="38"/>
        <v>9.1838074937499972</v>
      </c>
      <c r="AO93" s="40">
        <f t="shared" si="28"/>
        <v>4.7547332630269254</v>
      </c>
      <c r="AP93" s="17">
        <f t="shared" si="29"/>
        <v>0.47197482730628365</v>
      </c>
    </row>
    <row r="94" spans="2:58" x14ac:dyDescent="0.2">
      <c r="B94" s="2">
        <v>17</v>
      </c>
      <c r="C94" s="2">
        <f t="shared" si="30"/>
        <v>2025</v>
      </c>
      <c r="D94" s="36">
        <f t="shared" si="39"/>
        <v>15.470568066160732</v>
      </c>
      <c r="E94" s="36">
        <f t="shared" si="31"/>
        <v>15.323511259544658</v>
      </c>
      <c r="F94" s="36">
        <f t="shared" si="32"/>
        <v>2.4595525206752273</v>
      </c>
      <c r="G94" s="36">
        <f t="shared" si="33"/>
        <v>2.4135972686077056</v>
      </c>
      <c r="H94" s="37">
        <f t="shared" si="0"/>
        <v>115.79198452213316</v>
      </c>
      <c r="I94" s="37">
        <f t="shared" si="1"/>
        <v>111.02216964930079</v>
      </c>
      <c r="J94" s="37">
        <f t="shared" si="2"/>
        <v>46.211139863187846</v>
      </c>
      <c r="K94" s="37">
        <f t="shared" si="3"/>
        <v>44.940821078768941</v>
      </c>
      <c r="L94" s="37">
        <f t="shared" si="4"/>
        <v>69.580844658945324</v>
      </c>
      <c r="M94" s="37">
        <f t="shared" si="5"/>
        <v>66.081348570531844</v>
      </c>
      <c r="N94" s="38">
        <f t="shared" si="6"/>
        <v>301</v>
      </c>
      <c r="O94" s="38">
        <f t="shared" si="34"/>
        <v>215</v>
      </c>
      <c r="P94" s="16">
        <f t="shared" si="7"/>
        <v>13.909553098819542</v>
      </c>
      <c r="Q94" s="16">
        <f t="shared" si="8"/>
        <v>14.959881601673244</v>
      </c>
      <c r="R94" s="18">
        <f t="shared" si="9"/>
        <v>-4.3304152050739173</v>
      </c>
      <c r="S94" s="38">
        <f t="shared" si="10"/>
        <v>99.33</v>
      </c>
      <c r="T94" s="38">
        <f t="shared" si="11"/>
        <v>215</v>
      </c>
      <c r="U94" s="16">
        <f t="shared" si="12"/>
        <v>4.4639717577541189</v>
      </c>
      <c r="V94" s="16">
        <f t="shared" si="13"/>
        <v>14.207489942664346</v>
      </c>
      <c r="W94" s="18">
        <f t="shared" si="14"/>
        <v>-2.8007192550627695</v>
      </c>
      <c r="X94" s="18">
        <f t="shared" si="15"/>
        <v>13.101583131918376</v>
      </c>
      <c r="Y94" s="18">
        <f t="shared" si="16"/>
        <v>8.4735191457797043</v>
      </c>
      <c r="Z94" s="39">
        <f t="shared" si="35"/>
        <v>0.5</v>
      </c>
      <c r="AA94" s="18">
        <f t="shared" si="17"/>
        <v>-7.4999999999999997E-2</v>
      </c>
      <c r="AB94" s="18">
        <f t="shared" si="18"/>
        <v>0.22691097466648244</v>
      </c>
      <c r="AC94" s="18">
        <f t="shared" si="19"/>
        <v>5.3772256333379325</v>
      </c>
      <c r="AD94" s="18">
        <f t="shared" si="20"/>
        <v>-8.4571055028637224E-2</v>
      </c>
      <c r="AE94" s="18">
        <f t="shared" si="21"/>
        <v>-1.7328268702141543</v>
      </c>
      <c r="AF94" s="18">
        <f t="shared" si="22"/>
        <v>-2.0297053206872931E-2</v>
      </c>
      <c r="AG94" s="18">
        <f t="shared" si="36"/>
        <v>-0.41587844885139702</v>
      </c>
      <c r="AH94" s="19">
        <f t="shared" si="37"/>
        <v>2.0661100685620184</v>
      </c>
      <c r="AI94" s="19">
        <f t="shared" si="23"/>
        <v>4.2510588365162434</v>
      </c>
      <c r="AJ94" s="40">
        <f t="shared" si="24"/>
        <v>-6.4074090772176868</v>
      </c>
      <c r="AK94" s="40">
        <f t="shared" si="25"/>
        <v>-4.2224603092634618</v>
      </c>
      <c r="AL94" s="40">
        <f t="shared" si="26"/>
        <v>11.368756261704222</v>
      </c>
      <c r="AM94" s="40">
        <f t="shared" si="27"/>
        <v>13.434866330266241</v>
      </c>
      <c r="AN94" s="40">
        <f t="shared" si="38"/>
        <v>9.1838074937499972</v>
      </c>
      <c r="AO94" s="40">
        <f t="shared" si="28"/>
        <v>4.9613471844865353</v>
      </c>
      <c r="AP94" s="17">
        <f t="shared" si="29"/>
        <v>0.45382194933296494</v>
      </c>
    </row>
    <row r="95" spans="2:58" x14ac:dyDescent="0.2">
      <c r="B95" s="2">
        <v>18</v>
      </c>
      <c r="C95" s="2">
        <f t="shared" si="30"/>
        <v>2026</v>
      </c>
      <c r="D95" s="36">
        <f t="shared" si="39"/>
        <v>15.554862385499124</v>
      </c>
      <c r="E95" s="36">
        <f t="shared" si="31"/>
        <v>15.39937614694921</v>
      </c>
      <c r="F95" s="36">
        <f t="shared" si="32"/>
        <v>2.4858944954684752</v>
      </c>
      <c r="G95" s="36">
        <f t="shared" si="33"/>
        <v>2.4373050459216286</v>
      </c>
      <c r="H95" s="37">
        <f t="shared" si="0"/>
        <v>118.58764199716944</v>
      </c>
      <c r="I95" s="37">
        <f t="shared" si="1"/>
        <v>113.46590456546016</v>
      </c>
      <c r="J95" s="37">
        <f t="shared" si="2"/>
        <v>46.94579302995178</v>
      </c>
      <c r="K95" s="37">
        <f t="shared" si="3"/>
        <v>45.59436497830184</v>
      </c>
      <c r="L95" s="37">
        <f t="shared" si="4"/>
        <v>71.641848967217669</v>
      </c>
      <c r="M95" s="37">
        <f t="shared" si="5"/>
        <v>67.871539587158324</v>
      </c>
      <c r="N95" s="38">
        <f t="shared" si="6"/>
        <v>308.875</v>
      </c>
      <c r="O95" s="38">
        <f t="shared" si="34"/>
        <v>220.625</v>
      </c>
      <c r="P95" s="16">
        <f t="shared" si="7"/>
        <v>14.500381822126357</v>
      </c>
      <c r="Q95" s="16">
        <f t="shared" si="8"/>
        <v>15.805982928392398</v>
      </c>
      <c r="R95" s="18">
        <f t="shared" si="9"/>
        <v>-4.5459547125778128</v>
      </c>
      <c r="S95" s="38">
        <f t="shared" si="10"/>
        <v>101.92875000000001</v>
      </c>
      <c r="T95" s="38">
        <f t="shared" si="11"/>
        <v>220.625</v>
      </c>
      <c r="U95" s="16">
        <f t="shared" si="12"/>
        <v>4.6473766292820846</v>
      </c>
      <c r="V95" s="16">
        <f t="shared" si="13"/>
        <v>14.974158421416805</v>
      </c>
      <c r="W95" s="18">
        <f t="shared" si="14"/>
        <v>-2.9432302576048333</v>
      </c>
      <c r="X95" s="18">
        <f t="shared" si="15"/>
        <v>13.224705315650263</v>
      </c>
      <c r="Y95" s="18">
        <f t="shared" si="16"/>
        <v>8.5621954669358331</v>
      </c>
      <c r="Z95" s="39">
        <f t="shared" si="35"/>
        <v>0.5</v>
      </c>
      <c r="AA95" s="18">
        <f t="shared" si="17"/>
        <v>-7.4999999999999997E-2</v>
      </c>
      <c r="AB95" s="18">
        <f t="shared" si="18"/>
        <v>0.21818362948700235</v>
      </c>
      <c r="AC95" s="18">
        <f t="shared" si="19"/>
        <v>5.5954092628249352</v>
      </c>
      <c r="AD95" s="18">
        <f t="shared" si="20"/>
        <v>-8.2550417932964651E-2</v>
      </c>
      <c r="AE95" s="18">
        <f t="shared" si="21"/>
        <v>-1.8153772881471189</v>
      </c>
      <c r="AF95" s="18">
        <f t="shared" si="22"/>
        <v>-1.9812100303911513E-2</v>
      </c>
      <c r="AG95" s="18">
        <f t="shared" si="36"/>
        <v>-0.43569054915530853</v>
      </c>
      <c r="AH95" s="19">
        <f t="shared" si="37"/>
        <v>2.3125861531023144</v>
      </c>
      <c r="AI95" s="19">
        <f t="shared" si="23"/>
        <v>4.5381066868554623</v>
      </c>
      <c r="AJ95" s="40">
        <f t="shared" si="24"/>
        <v>-6.2496093138335187</v>
      </c>
      <c r="AK95" s="40">
        <f t="shared" si="25"/>
        <v>-4.0240887800803709</v>
      </c>
      <c r="AL95" s="40">
        <f t="shared" si="26"/>
        <v>11.409328027503145</v>
      </c>
      <c r="AM95" s="40">
        <f t="shared" si="27"/>
        <v>13.721914180605459</v>
      </c>
      <c r="AN95" s="40">
        <f t="shared" si="38"/>
        <v>9.1838074937499972</v>
      </c>
      <c r="AO95" s="40">
        <f t="shared" si="28"/>
        <v>5.1597187136696263</v>
      </c>
      <c r="AP95" s="17">
        <f t="shared" si="29"/>
        <v>0.43636725897400469</v>
      </c>
    </row>
    <row r="96" spans="2:58" x14ac:dyDescent="0.2">
      <c r="B96" s="2">
        <v>19</v>
      </c>
      <c r="C96" s="2">
        <f t="shared" si="30"/>
        <v>2027</v>
      </c>
      <c r="D96" s="36">
        <f t="shared" si="39"/>
        <v>15.638313761644133</v>
      </c>
      <c r="E96" s="36">
        <f t="shared" si="31"/>
        <v>15.474482385479718</v>
      </c>
      <c r="F96" s="36">
        <f t="shared" si="32"/>
        <v>2.5119730505137903</v>
      </c>
      <c r="G96" s="36">
        <f t="shared" si="33"/>
        <v>2.4607757454624122</v>
      </c>
      <c r="H96" s="37">
        <f t="shared" si="0"/>
        <v>121.4000045593136</v>
      </c>
      <c r="I96" s="37">
        <f t="shared" si="1"/>
        <v>115.92080634998896</v>
      </c>
      <c r="J96" s="37">
        <f t="shared" si="2"/>
        <v>47.677761691839848</v>
      </c>
      <c r="K96" s="37">
        <f t="shared" si="3"/>
        <v>46.245149680540777</v>
      </c>
      <c r="L96" s="37">
        <f t="shared" si="4"/>
        <v>73.722242867473753</v>
      </c>
      <c r="M96" s="37">
        <f t="shared" si="5"/>
        <v>69.675656669448188</v>
      </c>
      <c r="N96" s="38">
        <f t="shared" si="6"/>
        <v>316.75</v>
      </c>
      <c r="O96" s="38">
        <f t="shared" si="34"/>
        <v>226.25</v>
      </c>
      <c r="P96" s="16">
        <f t="shared" si="7"/>
        <v>15.101931015890271</v>
      </c>
      <c r="Q96" s="16">
        <f t="shared" si="8"/>
        <v>16.679657448765937</v>
      </c>
      <c r="R96" s="18">
        <f t="shared" si="9"/>
        <v>-4.7672382696984315</v>
      </c>
      <c r="S96" s="38">
        <f t="shared" si="10"/>
        <v>104.5275</v>
      </c>
      <c r="T96" s="38">
        <f t="shared" si="11"/>
        <v>226.25</v>
      </c>
      <c r="U96" s="16">
        <f t="shared" si="12"/>
        <v>4.8338898832327262</v>
      </c>
      <c r="V96" s="16">
        <f t="shared" si="13"/>
        <v>15.764117321462653</v>
      </c>
      <c r="W96" s="18">
        <f t="shared" si="14"/>
        <v>-3.0897010807043066</v>
      </c>
      <c r="X96" s="18">
        <f t="shared" si="15"/>
        <v>13.335042927078726</v>
      </c>
      <c r="Y96" s="18">
        <f t="shared" si="16"/>
        <v>8.6425922540766553</v>
      </c>
      <c r="Z96" s="39">
        <f t="shared" si="35"/>
        <v>0.5</v>
      </c>
      <c r="AA96" s="18">
        <f t="shared" si="17"/>
        <v>-7.4999999999999997E-2</v>
      </c>
      <c r="AB96" s="18">
        <f t="shared" si="18"/>
        <v>0.20979195142980991</v>
      </c>
      <c r="AC96" s="18">
        <f t="shared" si="19"/>
        <v>5.8052012142547449</v>
      </c>
      <c r="AD96" s="18">
        <f t="shared" si="20"/>
        <v>-8.0560109349047004E-2</v>
      </c>
      <c r="AE96" s="18">
        <f t="shared" si="21"/>
        <v>-1.8959373974961657</v>
      </c>
      <c r="AF96" s="18">
        <f t="shared" si="22"/>
        <v>-1.9334426243771279E-2</v>
      </c>
      <c r="AG96" s="18">
        <f t="shared" si="36"/>
        <v>-0.45502497539907982</v>
      </c>
      <c r="AH96" s="19">
        <f t="shared" si="37"/>
        <v>2.5536629633497601</v>
      </c>
      <c r="AI96" s="19">
        <f t="shared" si="23"/>
        <v>4.8089609991823234</v>
      </c>
      <c r="AJ96" s="40">
        <f t="shared" si="24"/>
        <v>-6.0889292907268953</v>
      </c>
      <c r="AK96" s="40">
        <f t="shared" si="25"/>
        <v>-3.8336312548943319</v>
      </c>
      <c r="AL96" s="40">
        <f t="shared" si="26"/>
        <v>11.439105529582561</v>
      </c>
      <c r="AM96" s="40">
        <f t="shared" si="27"/>
        <v>13.992768492932321</v>
      </c>
      <c r="AN96" s="40">
        <f t="shared" si="38"/>
        <v>9.1838074937499972</v>
      </c>
      <c r="AO96" s="40">
        <f t="shared" si="28"/>
        <v>5.3501762388556653</v>
      </c>
      <c r="AP96" s="17">
        <f t="shared" si="29"/>
        <v>0.41958390285961988</v>
      </c>
    </row>
    <row r="97" spans="2:58" x14ac:dyDescent="0.2">
      <c r="B97" s="2">
        <v>20</v>
      </c>
      <c r="C97" s="2">
        <f t="shared" si="30"/>
        <v>2028</v>
      </c>
      <c r="D97" s="36">
        <f t="shared" si="39"/>
        <v>15.720930624027691</v>
      </c>
      <c r="E97" s="36">
        <f t="shared" si="31"/>
        <v>15.54883756162492</v>
      </c>
      <c r="F97" s="36">
        <f t="shared" si="32"/>
        <v>2.5377908200086523</v>
      </c>
      <c r="G97" s="36">
        <f t="shared" si="33"/>
        <v>2.484011738007788</v>
      </c>
      <c r="H97" s="37">
        <f t="shared" si="0"/>
        <v>124.22838525211134</v>
      </c>
      <c r="I97" s="37">
        <f t="shared" si="1"/>
        <v>118.38632617405719</v>
      </c>
      <c r="J97" s="37">
        <f t="shared" si="2"/>
        <v>48.406979919567647</v>
      </c>
      <c r="K97" s="37">
        <f t="shared" si="3"/>
        <v>46.893127630248784</v>
      </c>
      <c r="L97" s="37">
        <f t="shared" si="4"/>
        <v>75.821405332543691</v>
      </c>
      <c r="M97" s="37">
        <f t="shared" si="5"/>
        <v>71.493198543808404</v>
      </c>
      <c r="N97" s="38">
        <f t="shared" si="6"/>
        <v>324.625</v>
      </c>
      <c r="O97" s="38">
        <f t="shared" si="34"/>
        <v>231.875</v>
      </c>
      <c r="P97" s="16">
        <f t="shared" si="7"/>
        <v>15.714115856389647</v>
      </c>
      <c r="Q97" s="16">
        <f t="shared" si="8"/>
        <v>17.58108836148357</v>
      </c>
      <c r="R97" s="18">
        <f t="shared" si="9"/>
        <v>-4.994280632680983</v>
      </c>
      <c r="S97" s="38">
        <f t="shared" si="10"/>
        <v>107.12625</v>
      </c>
      <c r="T97" s="38">
        <f t="shared" si="11"/>
        <v>231.875</v>
      </c>
      <c r="U97" s="16">
        <f t="shared" si="12"/>
        <v>5.0234849137999387</v>
      </c>
      <c r="V97" s="16">
        <f t="shared" si="13"/>
        <v>16.577485412345574</v>
      </c>
      <c r="W97" s="18">
        <f t="shared" si="14"/>
        <v>-3.2401455489218272</v>
      </c>
      <c r="X97" s="18">
        <f t="shared" si="15"/>
        <v>13.432818973310887</v>
      </c>
      <c r="Y97" s="18">
        <f t="shared" si="16"/>
        <v>8.7148263798067021</v>
      </c>
      <c r="Z97" s="39">
        <f t="shared" si="35"/>
        <v>0.5</v>
      </c>
      <c r="AA97" s="18">
        <f t="shared" si="17"/>
        <v>-7.4999999999999997E-2</v>
      </c>
      <c r="AB97" s="18">
        <f t="shared" si="18"/>
        <v>0.2017230302209711</v>
      </c>
      <c r="AC97" s="18">
        <f t="shared" si="19"/>
        <v>6.0069242444757158</v>
      </c>
      <c r="AD97" s="18">
        <f t="shared" si="20"/>
        <v>-7.8600785422571318E-2</v>
      </c>
      <c r="AE97" s="18">
        <f t="shared" si="21"/>
        <v>-1.974538182918737</v>
      </c>
      <c r="AF97" s="18">
        <f t="shared" si="22"/>
        <v>-1.8864188501417117E-2</v>
      </c>
      <c r="AG97" s="18">
        <f t="shared" si="36"/>
        <v>-0.47388916390049696</v>
      </c>
      <c r="AH97" s="19">
        <f t="shared" si="37"/>
        <v>2.7895806699897712</v>
      </c>
      <c r="AI97" s="19">
        <f t="shared" si="23"/>
        <v>5.0640539666319242</v>
      </c>
      <c r="AJ97" s="40">
        <f t="shared" si="24"/>
        <v>-5.9252457098169309</v>
      </c>
      <c r="AK97" s="40">
        <f t="shared" si="25"/>
        <v>-3.6507724131747779</v>
      </c>
      <c r="AL97" s="40">
        <f t="shared" si="26"/>
        <v>11.45828079039215</v>
      </c>
      <c r="AM97" s="40">
        <f t="shared" si="27"/>
        <v>14.247861460381921</v>
      </c>
      <c r="AN97" s="40">
        <f t="shared" si="38"/>
        <v>9.1838074937499972</v>
      </c>
      <c r="AO97" s="40">
        <f t="shared" si="28"/>
        <v>5.5330350805752193</v>
      </c>
      <c r="AP97" s="17">
        <f t="shared" si="29"/>
        <v>0.4034460604419422</v>
      </c>
    </row>
    <row r="98" spans="2:58" x14ac:dyDescent="0.2">
      <c r="B98" s="2">
        <v>21</v>
      </c>
      <c r="C98" s="2">
        <f t="shared" si="30"/>
        <v>2029</v>
      </c>
      <c r="D98" s="36">
        <f t="shared" si="39"/>
        <v>15.802721317787414</v>
      </c>
      <c r="E98" s="36">
        <f t="shared" si="31"/>
        <v>15.622449186008671</v>
      </c>
      <c r="F98" s="36">
        <f t="shared" si="32"/>
        <v>2.5633504118085657</v>
      </c>
      <c r="G98" s="36">
        <f t="shared" si="33"/>
        <v>2.5070153706277103</v>
      </c>
      <c r="H98" s="37">
        <f t="shared" si="0"/>
        <v>127.07210167325201</v>
      </c>
      <c r="I98" s="37">
        <f t="shared" si="1"/>
        <v>120.86192021753618</v>
      </c>
      <c r="J98" s="37">
        <f t="shared" si="2"/>
        <v>49.133384289352875</v>
      </c>
      <c r="K98" s="37">
        <f t="shared" si="3"/>
        <v>47.538253243170843</v>
      </c>
      <c r="L98" s="37">
        <f t="shared" si="4"/>
        <v>77.938717383899132</v>
      </c>
      <c r="M98" s="37">
        <f t="shared" si="5"/>
        <v>73.323666974365338</v>
      </c>
      <c r="N98" s="38">
        <f t="shared" si="6"/>
        <v>332.5</v>
      </c>
      <c r="O98" s="38">
        <f t="shared" si="34"/>
        <v>237.5</v>
      </c>
      <c r="P98" s="16">
        <f t="shared" si="7"/>
        <v>16.33685027620983</v>
      </c>
      <c r="Q98" s="16">
        <f t="shared" si="8"/>
        <v>18.510445378676042</v>
      </c>
      <c r="R98" s="18">
        <f t="shared" si="9"/>
        <v>-5.22709434823288</v>
      </c>
      <c r="S98" s="38">
        <f t="shared" si="10"/>
        <v>109.72499999999999</v>
      </c>
      <c r="T98" s="38">
        <f t="shared" si="11"/>
        <v>237.5</v>
      </c>
      <c r="U98" s="16">
        <f t="shared" si="12"/>
        <v>5.2161348371069201</v>
      </c>
      <c r="V98" s="16">
        <f t="shared" si="13"/>
        <v>17.414370906411769</v>
      </c>
      <c r="W98" s="18">
        <f t="shared" si="14"/>
        <v>-3.3945758615278034</v>
      </c>
      <c r="X98" s="18">
        <f t="shared" si="15"/>
        <v>13.518273220210878</v>
      </c>
      <c r="Y98" s="18">
        <f t="shared" si="16"/>
        <v>8.7790272961839992</v>
      </c>
      <c r="Z98" s="39">
        <f t="shared" si="35"/>
        <v>0.5</v>
      </c>
      <c r="AA98" s="18">
        <f t="shared" si="17"/>
        <v>-7.4999999999999997E-2</v>
      </c>
      <c r="AB98" s="18">
        <f t="shared" si="18"/>
        <v>0.19396445213554911</v>
      </c>
      <c r="AC98" s="18">
        <f t="shared" si="19"/>
        <v>6.2008886966112646</v>
      </c>
      <c r="AD98" s="18">
        <f t="shared" si="20"/>
        <v>-7.6673006961817058E-2</v>
      </c>
      <c r="AE98" s="18">
        <f t="shared" si="21"/>
        <v>-2.0512111898805538</v>
      </c>
      <c r="AF98" s="18">
        <f t="shared" si="22"/>
        <v>-1.8401521670836092E-2</v>
      </c>
      <c r="AG98" s="18">
        <f t="shared" si="36"/>
        <v>-0.49229068557133304</v>
      </c>
      <c r="AH98" s="19">
        <f t="shared" si="37"/>
        <v>3.0205632768936059</v>
      </c>
      <c r="AI98" s="19">
        <f t="shared" si="23"/>
        <v>5.3038178134739322</v>
      </c>
      <c r="AJ98" s="40">
        <f t="shared" si="24"/>
        <v>-5.7584640192903915</v>
      </c>
      <c r="AK98" s="40">
        <f t="shared" si="25"/>
        <v>-3.4752094827100652</v>
      </c>
      <c r="AL98" s="40">
        <f t="shared" si="26"/>
        <v>11.467062030330323</v>
      </c>
      <c r="AM98" s="40">
        <f t="shared" si="27"/>
        <v>14.487625307223929</v>
      </c>
      <c r="AN98" s="40">
        <f t="shared" si="38"/>
        <v>9.1838074937499972</v>
      </c>
      <c r="AO98" s="40">
        <f t="shared" si="28"/>
        <v>5.7085980110399319</v>
      </c>
      <c r="AP98" s="17">
        <f t="shared" si="29"/>
        <v>0.38792890427109822</v>
      </c>
      <c r="BC98" s="13"/>
      <c r="BD98" s="13"/>
      <c r="BE98" s="13"/>
    </row>
    <row r="99" spans="2:58" x14ac:dyDescent="0.2">
      <c r="B99" s="2">
        <v>22</v>
      </c>
      <c r="C99" s="2">
        <f t="shared" si="30"/>
        <v>2030</v>
      </c>
      <c r="D99" s="36">
        <f t="shared" si="39"/>
        <v>15.883694104609541</v>
      </c>
      <c r="E99" s="36">
        <f t="shared" si="31"/>
        <v>15.695324694148585</v>
      </c>
      <c r="F99" s="36">
        <f t="shared" si="32"/>
        <v>2.5886544076904801</v>
      </c>
      <c r="G99" s="36">
        <f t="shared" si="33"/>
        <v>2.5297889669214331</v>
      </c>
      <c r="H99" s="37">
        <f t="shared" si="0"/>
        <v>129.93047641838683</v>
      </c>
      <c r="I99" s="37">
        <f t="shared" si="1"/>
        <v>123.34704994518762</v>
      </c>
      <c r="J99" s="37">
        <f t="shared" si="2"/>
        <v>49.856913821120678</v>
      </c>
      <c r="K99" s="37">
        <f t="shared" si="3"/>
        <v>48.180482856564815</v>
      </c>
      <c r="L99" s="37">
        <f t="shared" si="4"/>
        <v>80.073562597266147</v>
      </c>
      <c r="M99" s="37">
        <f t="shared" si="5"/>
        <v>75.166567088622799</v>
      </c>
      <c r="N99" s="38">
        <f t="shared" si="6"/>
        <v>340.375</v>
      </c>
      <c r="O99" s="38">
        <f t="shared" si="34"/>
        <v>243.125</v>
      </c>
      <c r="P99" s="16">
        <f t="shared" si="7"/>
        <v>16.97004704186395</v>
      </c>
      <c r="Q99" s="16">
        <f t="shared" si="8"/>
        <v>19.467884906460334</v>
      </c>
      <c r="R99" s="18">
        <f t="shared" si="9"/>
        <v>-5.465689792248642</v>
      </c>
      <c r="S99" s="38">
        <f t="shared" si="10"/>
        <v>112.32374999999999</v>
      </c>
      <c r="T99" s="38">
        <f t="shared" si="11"/>
        <v>243.125</v>
      </c>
      <c r="U99" s="16">
        <f t="shared" si="12"/>
        <v>5.4118125112600719</v>
      </c>
      <c r="V99" s="16">
        <f t="shared" si="13"/>
        <v>18.274871623421419</v>
      </c>
      <c r="W99" s="18">
        <f t="shared" si="14"/>
        <v>-3.5530026202022236</v>
      </c>
      <c r="X99" s="18">
        <f t="shared" si="15"/>
        <v>13.591660590979115</v>
      </c>
      <c r="Y99" s="18">
        <f t="shared" si="16"/>
        <v>8.8353359828678801</v>
      </c>
      <c r="Z99" s="39">
        <f t="shared" si="35"/>
        <v>0.5</v>
      </c>
      <c r="AA99" s="18">
        <f t="shared" si="17"/>
        <v>-7.4999999999999997E-2</v>
      </c>
      <c r="AB99" s="18">
        <f t="shared" si="18"/>
        <v>0.18650428089956642</v>
      </c>
      <c r="AC99" s="18">
        <f t="shared" si="19"/>
        <v>6.3873929775108307</v>
      </c>
      <c r="AD99" s="18">
        <f t="shared" si="20"/>
        <v>-7.4777245800673214E-2</v>
      </c>
      <c r="AE99" s="18">
        <f t="shared" si="21"/>
        <v>-2.1259884356812271</v>
      </c>
      <c r="AF99" s="18">
        <f t="shared" si="22"/>
        <v>-1.794653899216157E-2</v>
      </c>
      <c r="AG99" s="18">
        <f t="shared" si="36"/>
        <v>-0.51023722456349463</v>
      </c>
      <c r="AH99" s="19">
        <f t="shared" si="37"/>
        <v>3.246819580517327</v>
      </c>
      <c r="AI99" s="19">
        <f t="shared" si="23"/>
        <v>5.5286842420652178</v>
      </c>
      <c r="AJ99" s="40">
        <f t="shared" si="24"/>
        <v>-5.5885164023505522</v>
      </c>
      <c r="AK99" s="40">
        <f t="shared" si="25"/>
        <v>-3.3066517408026614</v>
      </c>
      <c r="AL99" s="40">
        <f t="shared" si="26"/>
        <v>11.465672155297888</v>
      </c>
      <c r="AM99" s="40">
        <f t="shared" si="27"/>
        <v>14.712491735815215</v>
      </c>
      <c r="AN99" s="40">
        <f t="shared" si="38"/>
        <v>9.1838074937499972</v>
      </c>
      <c r="AO99" s="40">
        <f t="shared" si="28"/>
        <v>5.8771557529473357</v>
      </c>
      <c r="AP99" s="17">
        <f t="shared" si="29"/>
        <v>0.37300856179913283</v>
      </c>
    </row>
    <row r="100" spans="2:58" x14ac:dyDescent="0.2">
      <c r="B100" s="2">
        <v>23</v>
      </c>
      <c r="C100" s="2">
        <f t="shared" si="30"/>
        <v>2031</v>
      </c>
      <c r="D100" s="36">
        <f t="shared" si="39"/>
        <v>15.963857163563445</v>
      </c>
      <c r="E100" s="36">
        <f t="shared" si="31"/>
        <v>15.767471447207098</v>
      </c>
      <c r="F100" s="36">
        <f t="shared" si="32"/>
        <v>2.6137053636135752</v>
      </c>
      <c r="G100" s="36">
        <f t="shared" si="33"/>
        <v>2.5523348272522188</v>
      </c>
      <c r="H100" s="37">
        <f t="shared" si="0"/>
        <v>132.80283749495595</v>
      </c>
      <c r="I100" s="37">
        <f t="shared" si="1"/>
        <v>125.84118236245288</v>
      </c>
      <c r="J100" s="37">
        <f t="shared" si="2"/>
        <v>50.577509918058183</v>
      </c>
      <c r="K100" s="37">
        <f t="shared" si="3"/>
        <v>48.81977468081962</v>
      </c>
      <c r="L100" s="37">
        <f t="shared" si="4"/>
        <v>82.225327576897769</v>
      </c>
      <c r="M100" s="37">
        <f t="shared" si="5"/>
        <v>77.021407681633264</v>
      </c>
      <c r="N100" s="38">
        <f t="shared" si="6"/>
        <v>348.25</v>
      </c>
      <c r="O100" s="38">
        <f t="shared" si="34"/>
        <v>248.75</v>
      </c>
      <c r="P100" s="16">
        <f t="shared" si="7"/>
        <v>17.613617828963761</v>
      </c>
      <c r="Q100" s="16">
        <f t="shared" si="8"/>
        <v>20.453550234753319</v>
      </c>
      <c r="R100" s="18">
        <f t="shared" si="9"/>
        <v>-5.7100752095575613</v>
      </c>
      <c r="S100" s="38">
        <f t="shared" si="10"/>
        <v>114.9225</v>
      </c>
      <c r="T100" s="38">
        <f t="shared" si="11"/>
        <v>248.75</v>
      </c>
      <c r="U100" s="16">
        <f t="shared" si="12"/>
        <v>5.6104905557564928</v>
      </c>
      <c r="V100" s="16">
        <f t="shared" si="13"/>
        <v>19.159075160806275</v>
      </c>
      <c r="W100" s="18">
        <f t="shared" si="14"/>
        <v>-3.7154348574844147</v>
      </c>
      <c r="X100" s="18">
        <f t="shared" si="15"/>
        <v>13.653249626166335</v>
      </c>
      <c r="Y100" s="18">
        <f t="shared" si="16"/>
        <v>8.8839039272347939</v>
      </c>
      <c r="Z100" s="39">
        <f t="shared" si="35"/>
        <v>0.5</v>
      </c>
      <c r="AA100" s="18">
        <f t="shared" si="17"/>
        <v>-7.4999999999999997E-2</v>
      </c>
      <c r="AB100" s="18">
        <f t="shared" si="18"/>
        <v>0.17933103932650618</v>
      </c>
      <c r="AC100" s="18">
        <f t="shared" si="19"/>
        <v>6.5667240168373366</v>
      </c>
      <c r="AD100" s="18">
        <f t="shared" si="20"/>
        <v>-7.291389081322415E-2</v>
      </c>
      <c r="AE100" s="18">
        <f t="shared" si="21"/>
        <v>-2.1989023264944514</v>
      </c>
      <c r="AF100" s="18">
        <f t="shared" si="22"/>
        <v>-1.7499333795173797E-2</v>
      </c>
      <c r="AG100" s="18">
        <f t="shared" si="36"/>
        <v>-0.5277365583586684</v>
      </c>
      <c r="AH100" s="19">
        <f t="shared" si="37"/>
        <v>3.4685440860415788</v>
      </c>
      <c r="AI100" s="19">
        <f t="shared" si="23"/>
        <v>5.7390838919634657</v>
      </c>
      <c r="AJ100" s="40">
        <f t="shared" si="24"/>
        <v>-5.415359841193216</v>
      </c>
      <c r="AK100" s="40">
        <f t="shared" si="25"/>
        <v>-3.1448200352713291</v>
      </c>
      <c r="AL100" s="40">
        <f t="shared" si="26"/>
        <v>11.454347299671884</v>
      </c>
      <c r="AM100" s="40">
        <f t="shared" si="27"/>
        <v>14.922891385713463</v>
      </c>
      <c r="AN100" s="40">
        <f t="shared" si="38"/>
        <v>9.1838074937499972</v>
      </c>
      <c r="AO100" s="40">
        <f t="shared" si="28"/>
        <v>6.038987458478668</v>
      </c>
      <c r="AP100" s="17">
        <f t="shared" si="29"/>
        <v>0.35866207865301236</v>
      </c>
    </row>
    <row r="101" spans="2:58" x14ac:dyDescent="0.2">
      <c r="B101" s="2">
        <v>24</v>
      </c>
      <c r="C101" s="2">
        <f t="shared" si="30"/>
        <v>2032</v>
      </c>
      <c r="D101" s="36">
        <f t="shared" si="39"/>
        <v>16.043218591927811</v>
      </c>
      <c r="E101" s="36">
        <f t="shared" si="31"/>
        <v>15.838896732735028</v>
      </c>
      <c r="F101" s="36">
        <f t="shared" si="32"/>
        <v>2.6385058099774392</v>
      </c>
      <c r="G101" s="36">
        <f t="shared" si="33"/>
        <v>2.5746552289796965</v>
      </c>
      <c r="H101" s="37">
        <f t="shared" si="0"/>
        <v>135.68851870740804</v>
      </c>
      <c r="I101" s="37">
        <f t="shared" si="1"/>
        <v>128.3437902517972</v>
      </c>
      <c r="J101" s="37">
        <f t="shared" si="2"/>
        <v>51.295116307490026</v>
      </c>
      <c r="K101" s="37">
        <f t="shared" si="3"/>
        <v>49.456088752137475</v>
      </c>
      <c r="L101" s="37">
        <f t="shared" si="4"/>
        <v>84.393402399918017</v>
      </c>
      <c r="M101" s="37">
        <f t="shared" si="5"/>
        <v>78.887701499659727</v>
      </c>
      <c r="N101" s="38">
        <f t="shared" si="6"/>
        <v>406.125</v>
      </c>
      <c r="O101" s="38">
        <f t="shared" si="34"/>
        <v>304.375</v>
      </c>
      <c r="P101" s="16">
        <f t="shared" si="7"/>
        <v>20.832229110379387</v>
      </c>
      <c r="Q101" s="16">
        <f t="shared" si="8"/>
        <v>25.687241855475047</v>
      </c>
      <c r="R101" s="18">
        <f t="shared" si="9"/>
        <v>-6.9779206448781652</v>
      </c>
      <c r="S101" s="38">
        <f t="shared" si="10"/>
        <v>117.52124999999999</v>
      </c>
      <c r="T101" s="38">
        <f t="shared" si="11"/>
        <v>254.375</v>
      </c>
      <c r="U101" s="16">
        <f t="shared" si="12"/>
        <v>5.8121413702621361</v>
      </c>
      <c r="V101" s="16">
        <f t="shared" si="13"/>
        <v>20.067059068975944</v>
      </c>
      <c r="W101" s="18">
        <f t="shared" si="14"/>
        <v>-3.8818800658857118</v>
      </c>
      <c r="X101" s="18">
        <f t="shared" si="15"/>
        <v>16.043048225434433</v>
      </c>
      <c r="Y101" s="18">
        <f t="shared" si="16"/>
        <v>8.924892137899116</v>
      </c>
      <c r="Z101" s="39">
        <f t="shared" si="35"/>
        <v>0.5</v>
      </c>
      <c r="AA101" s="18">
        <f t="shared" si="17"/>
        <v>-7.4999999999999997E-2</v>
      </c>
      <c r="AB101" s="18">
        <f t="shared" si="18"/>
        <v>0.17243369166010211</v>
      </c>
      <c r="AC101" s="18">
        <f t="shared" si="19"/>
        <v>6.739157708497439</v>
      </c>
      <c r="AD101" s="18">
        <f t="shared" si="20"/>
        <v>-7.1083253597293852E-2</v>
      </c>
      <c r="AE101" s="18">
        <f t="shared" si="21"/>
        <v>-2.2699855800917454</v>
      </c>
      <c r="AF101" s="18">
        <f t="shared" si="22"/>
        <v>-1.7059980863350525E-2</v>
      </c>
      <c r="AG101" s="18">
        <f t="shared" si="36"/>
        <v>-0.54479653922201887</v>
      </c>
      <c r="AH101" s="19">
        <f t="shared" si="37"/>
        <v>1.346190661831848</v>
      </c>
      <c r="AI101" s="19">
        <f t="shared" si="23"/>
        <v>5.935445813424538</v>
      </c>
      <c r="AJ101" s="40">
        <f t="shared" si="24"/>
        <v>-7.5787014760672671</v>
      </c>
      <c r="AK101" s="40">
        <f t="shared" si="25"/>
        <v>-2.989446324474577</v>
      </c>
      <c r="AL101" s="40">
        <f t="shared" si="26"/>
        <v>13.773062645342687</v>
      </c>
      <c r="AM101" s="40">
        <f t="shared" si="27"/>
        <v>15.119253307174535</v>
      </c>
      <c r="AN101" s="40">
        <f t="shared" si="38"/>
        <v>9.1838074937499972</v>
      </c>
      <c r="AO101" s="40">
        <f t="shared" si="28"/>
        <v>6.1943611692754201</v>
      </c>
      <c r="AP101" s="17">
        <f t="shared" si="29"/>
        <v>0.34486738332020422</v>
      </c>
    </row>
    <row r="102" spans="2:58" x14ac:dyDescent="0.2">
      <c r="B102" s="2">
        <v>25</v>
      </c>
      <c r="C102" s="2">
        <f t="shared" si="30"/>
        <v>2033</v>
      </c>
      <c r="D102" s="36">
        <f t="shared" si="39"/>
        <v>16.121786406008532</v>
      </c>
      <c r="E102" s="36">
        <f t="shared" si="31"/>
        <v>15.909607765407678</v>
      </c>
      <c r="F102" s="36">
        <f t="shared" si="32"/>
        <v>2.6630582518776649</v>
      </c>
      <c r="G102" s="36">
        <f t="shared" si="33"/>
        <v>2.5967524266898994</v>
      </c>
      <c r="H102" s="37">
        <f t="shared" si="0"/>
        <v>138.58686001513485</v>
      </c>
      <c r="I102" s="37">
        <f t="shared" si="1"/>
        <v>130.85435239052322</v>
      </c>
      <c r="J102" s="37">
        <f t="shared" si="2"/>
        <v>52.00967898304728</v>
      </c>
      <c r="K102" s="37">
        <f t="shared" si="3"/>
        <v>50.089386886258175</v>
      </c>
      <c r="L102" s="37">
        <f t="shared" si="4"/>
        <v>86.577181032087566</v>
      </c>
      <c r="M102" s="37">
        <f t="shared" si="5"/>
        <v>80.764965504265035</v>
      </c>
      <c r="N102" s="38">
        <f t="shared" si="6"/>
        <v>414</v>
      </c>
      <c r="O102" s="38">
        <f t="shared" si="34"/>
        <v>310</v>
      </c>
      <c r="P102" s="16">
        <f t="shared" si="7"/>
        <v>21.532007098981573</v>
      </c>
      <c r="Q102" s="16">
        <f t="shared" si="8"/>
        <v>26.838926119947146</v>
      </c>
      <c r="R102" s="18">
        <f t="shared" si="9"/>
        <v>-7.2556399828393072</v>
      </c>
      <c r="S102" s="38">
        <f t="shared" si="10"/>
        <v>120.12</v>
      </c>
      <c r="T102" s="38">
        <f t="shared" si="11"/>
        <v>260</v>
      </c>
      <c r="U102" s="16">
        <f t="shared" si="12"/>
        <v>6.0167371527773321</v>
      </c>
      <c r="V102" s="16">
        <f t="shared" si="13"/>
        <v>20.998891031108911</v>
      </c>
      <c r="W102" s="18">
        <f t="shared" si="14"/>
        <v>-4.0523442275829362</v>
      </c>
      <c r="X102" s="18">
        <f t="shared" si="15"/>
        <v>16.039958815354126</v>
      </c>
      <c r="Y102" s="18">
        <f t="shared" si="16"/>
        <v>8.9584701928157777</v>
      </c>
      <c r="Z102" s="39">
        <f t="shared" si="35"/>
        <v>0.5</v>
      </c>
      <c r="AA102" s="18">
        <f t="shared" si="17"/>
        <v>-7.4999999999999997E-2</v>
      </c>
      <c r="AB102" s="18">
        <f t="shared" si="18"/>
        <v>0.16580162659625203</v>
      </c>
      <c r="AC102" s="18">
        <f t="shared" si="19"/>
        <v>6.9049593350936913</v>
      </c>
      <c r="AD102" s="18">
        <f t="shared" si="20"/>
        <v>-6.9285573843516135E-2</v>
      </c>
      <c r="AE102" s="18">
        <f t="shared" si="21"/>
        <v>-2.3392711539352615</v>
      </c>
      <c r="AF102" s="18">
        <f t="shared" si="22"/>
        <v>-1.6628537722443871E-2</v>
      </c>
      <c r="AG102" s="18">
        <f t="shared" si="36"/>
        <v>-0.56142507694446275</v>
      </c>
      <c r="AH102" s="19">
        <f t="shared" si="37"/>
        <v>1.6013167895461411</v>
      </c>
      <c r="AI102" s="19">
        <f t="shared" si="23"/>
        <v>6.1181969572150088</v>
      </c>
      <c r="AJ102" s="40">
        <f t="shared" si="24"/>
        <v>-7.3571534032696366</v>
      </c>
      <c r="AK102" s="40">
        <f t="shared" si="25"/>
        <v>-2.8402732356007689</v>
      </c>
      <c r="AL102" s="40">
        <f t="shared" si="26"/>
        <v>13.700687661418865</v>
      </c>
      <c r="AM102" s="40">
        <f t="shared" si="27"/>
        <v>15.302004450965006</v>
      </c>
      <c r="AN102" s="40">
        <f t="shared" si="38"/>
        <v>9.1838074937499972</v>
      </c>
      <c r="AO102" s="40">
        <f t="shared" si="28"/>
        <v>6.3435342581492282</v>
      </c>
      <c r="AP102" s="17">
        <f t="shared" si="29"/>
        <v>0.33160325319250405</v>
      </c>
    </row>
    <row r="103" spans="2:58" x14ac:dyDescent="0.2">
      <c r="B103" s="2">
        <v>26</v>
      </c>
      <c r="C103" s="2">
        <f t="shared" si="30"/>
        <v>2034</v>
      </c>
      <c r="D103" s="36">
        <f t="shared" si="39"/>
        <v>16.199568541948448</v>
      </c>
      <c r="E103" s="36">
        <f t="shared" si="31"/>
        <v>15.979611687753602</v>
      </c>
      <c r="F103" s="36">
        <f t="shared" si="32"/>
        <v>2.687365169358888</v>
      </c>
      <c r="G103" s="36">
        <f t="shared" si="33"/>
        <v>2.6186286524230002</v>
      </c>
      <c r="H103" s="37">
        <f t="shared" si="0"/>
        <v>141.49720786439758</v>
      </c>
      <c r="I103" s="37">
        <f t="shared" si="1"/>
        <v>133.37235375093266</v>
      </c>
      <c r="J103" s="37">
        <f t="shared" si="2"/>
        <v>52.721146148103372</v>
      </c>
      <c r="K103" s="37">
        <f t="shared" si="3"/>
        <v>50.719632633203695</v>
      </c>
      <c r="L103" s="37">
        <f t="shared" si="4"/>
        <v>88.776061716294208</v>
      </c>
      <c r="M103" s="37">
        <f t="shared" si="5"/>
        <v>82.652721117728959</v>
      </c>
      <c r="N103" s="38">
        <f t="shared" si="6"/>
        <v>421.875</v>
      </c>
      <c r="O103" s="38">
        <f t="shared" si="34"/>
        <v>315.625</v>
      </c>
      <c r="P103" s="16">
        <f t="shared" si="7"/>
        <v>22.241733531231109</v>
      </c>
      <c r="Q103" s="16">
        <f t="shared" si="8"/>
        <v>28.019944479205357</v>
      </c>
      <c r="R103" s="18">
        <f t="shared" si="9"/>
        <v>-7.5392517015654699</v>
      </c>
      <c r="S103" s="38">
        <f t="shared" si="10"/>
        <v>122.71875</v>
      </c>
      <c r="T103" s="38">
        <f t="shared" si="11"/>
        <v>265.625</v>
      </c>
      <c r="U103" s="16">
        <f t="shared" si="12"/>
        <v>6.2242499172059658</v>
      </c>
      <c r="V103" s="16">
        <f t="shared" si="13"/>
        <v>21.954629046896756</v>
      </c>
      <c r="W103" s="18">
        <f t="shared" si="14"/>
        <v>-4.2268318446154085</v>
      </c>
      <c r="X103" s="18">
        <f t="shared" si="15"/>
        <v>16.025899941514304</v>
      </c>
      <c r="Y103" s="18">
        <f t="shared" si="16"/>
        <v>8.9848153228983456</v>
      </c>
      <c r="Z103" s="39">
        <f t="shared" si="35"/>
        <v>0.5</v>
      </c>
      <c r="AA103" s="18">
        <f t="shared" si="17"/>
        <v>-7.4999999999999997E-2</v>
      </c>
      <c r="AB103" s="18">
        <f t="shared" si="18"/>
        <v>0.1594246409579346</v>
      </c>
      <c r="AC103" s="18">
        <f t="shared" si="19"/>
        <v>7.0643839760516256</v>
      </c>
      <c r="AD103" s="18">
        <f t="shared" si="20"/>
        <v>-6.7521024405713476E-2</v>
      </c>
      <c r="AE103" s="18">
        <f t="shared" si="21"/>
        <v>-2.4067921783409751</v>
      </c>
      <c r="AF103" s="18">
        <f t="shared" si="22"/>
        <v>-1.6205045857371234E-2</v>
      </c>
      <c r="AG103" s="18">
        <f t="shared" si="36"/>
        <v>-0.57763012280183401</v>
      </c>
      <c r="AH103" s="19">
        <f t="shared" si="37"/>
        <v>1.8524614129748098</v>
      </c>
      <c r="AI103" s="19">
        <f t="shared" si="23"/>
        <v>6.2877616823981413</v>
      </c>
      <c r="AJ103" s="40">
        <f t="shared" si="24"/>
        <v>-7.1323539099235367</v>
      </c>
      <c r="AK103" s="40">
        <f t="shared" si="25"/>
        <v>-2.6970536405002052</v>
      </c>
      <c r="AL103" s="40">
        <f t="shared" si="26"/>
        <v>13.619107763173329</v>
      </c>
      <c r="AM103" s="40">
        <f t="shared" si="27"/>
        <v>15.471569176148138</v>
      </c>
      <c r="AN103" s="40">
        <f t="shared" si="38"/>
        <v>9.1838074937499972</v>
      </c>
      <c r="AO103" s="40">
        <f t="shared" si="28"/>
        <v>6.4867538532497919</v>
      </c>
      <c r="AP103" s="17">
        <f t="shared" si="29"/>
        <v>0.31884928191586925</v>
      </c>
    </row>
    <row r="104" spans="2:58" x14ac:dyDescent="0.2">
      <c r="B104" s="2">
        <v>27</v>
      </c>
      <c r="C104" s="2">
        <f t="shared" si="30"/>
        <v>2035</v>
      </c>
      <c r="D104" s="36">
        <f t="shared" si="39"/>
        <v>16.276572856528965</v>
      </c>
      <c r="E104" s="36">
        <f t="shared" si="31"/>
        <v>16.048915570876066</v>
      </c>
      <c r="F104" s="36">
        <f t="shared" si="32"/>
        <v>2.7114290176652993</v>
      </c>
      <c r="G104" s="36">
        <f t="shared" si="33"/>
        <v>2.6402861158987703</v>
      </c>
      <c r="H104" s="37">
        <f t="shared" si="0"/>
        <v>144.41891549545846</v>
      </c>
      <c r="I104" s="37">
        <f t="shared" si="1"/>
        <v>135.89728568367792</v>
      </c>
      <c r="J104" s="37">
        <f t="shared" si="2"/>
        <v>53.429468160449801</v>
      </c>
      <c r="K104" s="37">
        <f t="shared" si="3"/>
        <v>51.346791233021889</v>
      </c>
      <c r="L104" s="37">
        <f t="shared" si="4"/>
        <v>90.989447335008663</v>
      </c>
      <c r="M104" s="37">
        <f t="shared" si="5"/>
        <v>84.550494450656032</v>
      </c>
      <c r="N104" s="38">
        <f t="shared" si="6"/>
        <v>429.75</v>
      </c>
      <c r="O104" s="38">
        <f t="shared" si="34"/>
        <v>321.25</v>
      </c>
      <c r="P104" s="16">
        <f t="shared" si="7"/>
        <v>22.961313941953303</v>
      </c>
      <c r="Q104" s="16">
        <f t="shared" si="8"/>
        <v>29.23035995637153</v>
      </c>
      <c r="R104" s="18">
        <f t="shared" si="9"/>
        <v>-7.8287510847487249</v>
      </c>
      <c r="S104" s="38">
        <f t="shared" si="10"/>
        <v>141.8175</v>
      </c>
      <c r="T104" s="38">
        <f t="shared" si="11"/>
        <v>321.25</v>
      </c>
      <c r="U104" s="16">
        <f t="shared" si="12"/>
        <v>7.2818735656890814</v>
      </c>
      <c r="V104" s="16">
        <f t="shared" si="13"/>
        <v>27.16184634227325</v>
      </c>
      <c r="W104" s="18">
        <f t="shared" si="14"/>
        <v>-5.1665579861943494</v>
      </c>
      <c r="X104" s="18">
        <f t="shared" si="15"/>
        <v>16.001228600450087</v>
      </c>
      <c r="Y104" s="18">
        <f t="shared" si="16"/>
        <v>10.559957076120307</v>
      </c>
      <c r="Z104" s="39">
        <f t="shared" si="35"/>
        <v>0.5</v>
      </c>
      <c r="AA104" s="18">
        <f t="shared" si="17"/>
        <v>-7.4999999999999997E-2</v>
      </c>
      <c r="AB104" s="18">
        <f t="shared" si="18"/>
        <v>0.15329292399801406</v>
      </c>
      <c r="AC104" s="18">
        <f t="shared" si="19"/>
        <v>7.2176769000496392</v>
      </c>
      <c r="AD104" s="18">
        <f t="shared" si="20"/>
        <v>-6.5789716087618272E-2</v>
      </c>
      <c r="AE104" s="18">
        <f t="shared" si="21"/>
        <v>-2.4725818944285933</v>
      </c>
      <c r="AF104" s="18">
        <f t="shared" si="22"/>
        <v>-1.5789531861028383E-2</v>
      </c>
      <c r="AG104" s="18">
        <f t="shared" si="36"/>
        <v>-0.59341965466286239</v>
      </c>
      <c r="AH104" s="19">
        <f t="shared" si="37"/>
        <v>3.6555676154855874</v>
      </c>
      <c r="AI104" s="19">
        <f t="shared" si="23"/>
        <v>8.0004068277570841</v>
      </c>
      <c r="AJ104" s="40">
        <f t="shared" si="24"/>
        <v>-6.9043894606347171</v>
      </c>
      <c r="AK104" s="40">
        <f t="shared" si="25"/>
        <v>-2.5595502483632204</v>
      </c>
      <c r="AL104" s="40">
        <f t="shared" si="26"/>
        <v>13.528646706021494</v>
      </c>
      <c r="AM104" s="40">
        <f t="shared" si="27"/>
        <v>17.184214321507081</v>
      </c>
      <c r="AN104" s="40">
        <f t="shared" si="38"/>
        <v>9.1838074937499972</v>
      </c>
      <c r="AO104" s="40">
        <f t="shared" si="28"/>
        <v>6.6242572453867767</v>
      </c>
      <c r="AP104" s="17">
        <f t="shared" si="29"/>
        <v>0.30658584799602812</v>
      </c>
    </row>
    <row r="105" spans="2:58" ht="13.5" x14ac:dyDescent="0.25">
      <c r="B105" s="2">
        <v>28</v>
      </c>
      <c r="C105" s="2">
        <f t="shared" si="30"/>
        <v>2036</v>
      </c>
      <c r="D105" s="36">
        <f t="shared" si="39"/>
        <v>16.352807127963676</v>
      </c>
      <c r="E105" s="36">
        <f t="shared" si="31"/>
        <v>16.117526415167305</v>
      </c>
      <c r="F105" s="36">
        <f t="shared" si="32"/>
        <v>2.7352522274886462</v>
      </c>
      <c r="G105" s="36">
        <f t="shared" si="33"/>
        <v>2.6617270047397827</v>
      </c>
      <c r="H105" s="37">
        <f t="shared" si="0"/>
        <v>147.3513432260923</v>
      </c>
      <c r="I105" s="37">
        <f t="shared" si="1"/>
        <v>138.42864608511081</v>
      </c>
      <c r="J105" s="37">
        <f t="shared" si="2"/>
        <v>54.134597478186748</v>
      </c>
      <c r="K105" s="37">
        <f t="shared" si="3"/>
        <v>51.970829572508222</v>
      </c>
      <c r="L105" s="37">
        <f t="shared" si="4"/>
        <v>93.216745747905549</v>
      </c>
      <c r="M105" s="37">
        <f t="shared" si="5"/>
        <v>86.457816512602591</v>
      </c>
      <c r="N105" s="38">
        <f t="shared" si="6"/>
        <v>437.625</v>
      </c>
      <c r="O105" s="38">
        <f t="shared" si="34"/>
        <v>326.875</v>
      </c>
      <c r="P105" s="16">
        <f t="shared" si="7"/>
        <v>23.690653221391475</v>
      </c>
      <c r="Q105" s="16">
        <f t="shared" si="8"/>
        <v>30.470223766346628</v>
      </c>
      <c r="R105" s="18">
        <f t="shared" si="9"/>
        <v>-8.1241315481607153</v>
      </c>
      <c r="S105" s="38">
        <f t="shared" si="10"/>
        <v>144.41624999999999</v>
      </c>
      <c r="T105" s="38">
        <f t="shared" si="11"/>
        <v>326.875</v>
      </c>
      <c r="U105" s="16">
        <f t="shared" si="12"/>
        <v>7.5054323162507401</v>
      </c>
      <c r="V105" s="16">
        <f t="shared" si="13"/>
        <v>28.260898772556974</v>
      </c>
      <c r="W105" s="18">
        <f t="shared" si="14"/>
        <v>-5.3649496633211573</v>
      </c>
      <c r="X105" s="18">
        <f t="shared" si="15"/>
        <v>15.966306153359856</v>
      </c>
      <c r="Y105" s="18">
        <f t="shared" si="16"/>
        <v>10.543702833239248</v>
      </c>
      <c r="Z105" s="39">
        <f t="shared" si="35"/>
        <v>0.5</v>
      </c>
      <c r="AA105" s="18">
        <f t="shared" si="17"/>
        <v>-7.4999999999999997E-2</v>
      </c>
      <c r="AB105" s="18">
        <f t="shared" si="18"/>
        <v>0.14739704230578274</v>
      </c>
      <c r="AC105" s="18">
        <f t="shared" si="19"/>
        <v>7.3650739423554219</v>
      </c>
      <c r="AD105" s="18">
        <f t="shared" si="20"/>
        <v>-6.4091702160255642E-2</v>
      </c>
      <c r="AE105" s="18">
        <f t="shared" si="21"/>
        <v>-2.5366735965888489</v>
      </c>
      <c r="AF105" s="18">
        <f t="shared" si="22"/>
        <v>-1.5382008518461355E-2</v>
      </c>
      <c r="AG105" s="18">
        <f t="shared" si="36"/>
        <v>-0.60880166318132378</v>
      </c>
      <c r="AH105" s="19">
        <f t="shared" si="37"/>
        <v>3.8703425556423383</v>
      </c>
      <c r="AI105" s="19">
        <f t="shared" si="23"/>
        <v>8.1161676186633489</v>
      </c>
      <c r="AJ105" s="40">
        <f t="shared" si="24"/>
        <v>-6.6733602775969096</v>
      </c>
      <c r="AK105" s="40">
        <f t="shared" si="25"/>
        <v>-2.427535214575899</v>
      </c>
      <c r="AL105" s="40">
        <f t="shared" si="26"/>
        <v>13.429632556771008</v>
      </c>
      <c r="AM105" s="40">
        <f t="shared" si="27"/>
        <v>17.299975112413346</v>
      </c>
      <c r="AN105" s="40">
        <f t="shared" si="38"/>
        <v>9.1838074937499972</v>
      </c>
      <c r="AO105" s="40">
        <f t="shared" si="28"/>
        <v>6.7562722791740981</v>
      </c>
      <c r="AP105" s="17">
        <f t="shared" si="29"/>
        <v>0.29479408461156548</v>
      </c>
      <c r="BF105" s="42"/>
    </row>
    <row r="106" spans="2:58" ht="13.5" x14ac:dyDescent="0.25">
      <c r="B106" s="2">
        <v>29</v>
      </c>
      <c r="C106" s="2">
        <f t="shared" si="30"/>
        <v>2037</v>
      </c>
      <c r="D106" s="36">
        <f t="shared" si="39"/>
        <v>16.42827905668404</v>
      </c>
      <c r="E106" s="36">
        <f t="shared" si="31"/>
        <v>16.185451151015631</v>
      </c>
      <c r="F106" s="36">
        <f t="shared" si="32"/>
        <v>2.7588372052137595</v>
      </c>
      <c r="G106" s="36">
        <f t="shared" si="33"/>
        <v>2.6829534846923848</v>
      </c>
      <c r="H106" s="37">
        <f t="shared" si="0"/>
        <v>150.29385871259564</v>
      </c>
      <c r="I106" s="37">
        <f t="shared" si="1"/>
        <v>140.96593954940158</v>
      </c>
      <c r="J106" s="37">
        <f t="shared" si="2"/>
        <v>54.836488606802568</v>
      </c>
      <c r="K106" s="37">
        <f t="shared" si="3"/>
        <v>52.591716142885275</v>
      </c>
      <c r="L106" s="37">
        <f t="shared" si="4"/>
        <v>95.457370105793075</v>
      </c>
      <c r="M106" s="37">
        <f t="shared" si="5"/>
        <v>88.374223406516307</v>
      </c>
      <c r="N106" s="38">
        <f t="shared" si="6"/>
        <v>445.5</v>
      </c>
      <c r="O106" s="38">
        <f t="shared" si="34"/>
        <v>332.5</v>
      </c>
      <c r="P106" s="16">
        <f t="shared" si="7"/>
        <v>24.429655674330544</v>
      </c>
      <c r="Q106" s="16">
        <f t="shared" si="8"/>
        <v>31.739575560176199</v>
      </c>
      <c r="R106" s="18">
        <f t="shared" si="9"/>
        <v>-8.4253846851760112</v>
      </c>
      <c r="S106" s="38">
        <f t="shared" si="10"/>
        <v>147.01499999999999</v>
      </c>
      <c r="T106" s="38">
        <f t="shared" si="11"/>
        <v>332.5</v>
      </c>
      <c r="U106" s="16">
        <f t="shared" si="12"/>
        <v>7.7317711487462777</v>
      </c>
      <c r="V106" s="16">
        <f t="shared" si="13"/>
        <v>29.384429282666673</v>
      </c>
      <c r="W106" s="18">
        <f t="shared" si="14"/>
        <v>-5.5674300647119424</v>
      </c>
      <c r="X106" s="18">
        <f t="shared" si="15"/>
        <v>15.921497216453618</v>
      </c>
      <c r="Y106" s="18">
        <f t="shared" si="16"/>
        <v>10.52080416388247</v>
      </c>
      <c r="Z106" s="39">
        <f t="shared" si="35"/>
        <v>0.5</v>
      </c>
      <c r="AA106" s="18">
        <f t="shared" si="17"/>
        <v>-7.4999999999999997E-2</v>
      </c>
      <c r="AB106" s="18">
        <f t="shared" si="18"/>
        <v>0.14172792529402184</v>
      </c>
      <c r="AC106" s="18">
        <f t="shared" si="19"/>
        <v>7.5068018676494441</v>
      </c>
      <c r="AD106" s="18">
        <f t="shared" si="20"/>
        <v>-6.2426982623625608E-2</v>
      </c>
      <c r="AE106" s="18">
        <f t="shared" si="21"/>
        <v>-2.5991005792124744</v>
      </c>
      <c r="AF106" s="18">
        <f t="shared" si="22"/>
        <v>-1.4982475829670147E-2</v>
      </c>
      <c r="AG106" s="18">
        <f t="shared" si="36"/>
        <v>-0.62378413901099394</v>
      </c>
      <c r="AH106" s="19">
        <f t="shared" si="37"/>
        <v>4.0814252552797754</v>
      </c>
      <c r="AI106" s="19">
        <f t="shared" si="23"/>
        <v>8.2200143987709229</v>
      </c>
      <c r="AJ106" s="40">
        <f t="shared" si="24"/>
        <v>-6.4393789086026949</v>
      </c>
      <c r="AK106" s="40">
        <f t="shared" si="25"/>
        <v>-2.3007897651115474</v>
      </c>
      <c r="AL106" s="40">
        <f t="shared" si="26"/>
        <v>13.322396637241145</v>
      </c>
      <c r="AM106" s="40">
        <f t="shared" si="27"/>
        <v>17.40382189252092</v>
      </c>
      <c r="AN106" s="40">
        <f t="shared" si="38"/>
        <v>9.1838074937499972</v>
      </c>
      <c r="AO106" s="40">
        <f t="shared" si="28"/>
        <v>6.8830177286384497</v>
      </c>
      <c r="AP106" s="17">
        <f t="shared" si="29"/>
        <v>0.28345585058804368</v>
      </c>
      <c r="BF106" s="42"/>
    </row>
    <row r="107" spans="2:58" ht="13.5" x14ac:dyDescent="0.25">
      <c r="B107" s="2">
        <v>30</v>
      </c>
      <c r="C107" s="2">
        <f t="shared" si="30"/>
        <v>2038</v>
      </c>
      <c r="D107" s="36">
        <f t="shared" si="39"/>
        <v>16.502996266117201</v>
      </c>
      <c r="E107" s="36">
        <f t="shared" si="31"/>
        <v>16.252696639505473</v>
      </c>
      <c r="F107" s="36">
        <f t="shared" si="32"/>
        <v>2.7821863331616221</v>
      </c>
      <c r="G107" s="36">
        <f t="shared" si="33"/>
        <v>2.7039676998454611</v>
      </c>
      <c r="H107" s="37">
        <f t="shared" si="0"/>
        <v>153.24583718936958</v>
      </c>
      <c r="I107" s="37">
        <f t="shared" si="1"/>
        <v>143.50867750617067</v>
      </c>
      <c r="J107" s="37">
        <f t="shared" si="2"/>
        <v>55.535098047417776</v>
      </c>
      <c r="K107" s="37">
        <f t="shared" si="3"/>
        <v>53.209420998419802</v>
      </c>
      <c r="L107" s="37">
        <f t="shared" si="4"/>
        <v>97.710739141951805</v>
      </c>
      <c r="M107" s="37">
        <f t="shared" si="5"/>
        <v>90.299256507750869</v>
      </c>
      <c r="N107" s="38">
        <f t="shared" si="6"/>
        <v>453.375</v>
      </c>
      <c r="O107" s="38">
        <f t="shared" si="34"/>
        <v>338.125</v>
      </c>
      <c r="P107" s="16">
        <f t="shared" si="7"/>
        <v>25.178225077248033</v>
      </c>
      <c r="Q107" s="16">
        <f t="shared" si="8"/>
        <v>33.038443672372452</v>
      </c>
      <c r="R107" s="18">
        <f t="shared" si="9"/>
        <v>-8.7325003124430722</v>
      </c>
      <c r="S107" s="38">
        <f t="shared" si="10"/>
        <v>149.61374999999998</v>
      </c>
      <c r="T107" s="38">
        <f t="shared" si="11"/>
        <v>338.125</v>
      </c>
      <c r="U107" s="16">
        <f t="shared" si="12"/>
        <v>7.9608610109023301</v>
      </c>
      <c r="V107" s="16">
        <f t="shared" si="13"/>
        <v>30.532436106683264</v>
      </c>
      <c r="W107" s="18">
        <f t="shared" si="14"/>
        <v>-5.7739945676378381</v>
      </c>
      <c r="X107" s="18">
        <f t="shared" si="15"/>
        <v>15.867168614255821</v>
      </c>
      <c r="Y107" s="18">
        <f t="shared" si="16"/>
        <v>10.491490650387995</v>
      </c>
      <c r="Z107" s="39">
        <f t="shared" si="35"/>
        <v>0.5</v>
      </c>
      <c r="AA107" s="18">
        <f t="shared" si="17"/>
        <v>-7.4999999999999997E-2</v>
      </c>
      <c r="AB107" s="18">
        <f t="shared" si="18"/>
        <v>0.13627685124425176</v>
      </c>
      <c r="AC107" s="18">
        <f t="shared" si="19"/>
        <v>7.6430787188936957</v>
      </c>
      <c r="AD107" s="18">
        <f t="shared" si="20"/>
        <v>-6.0795508225670904E-2</v>
      </c>
      <c r="AE107" s="18">
        <f t="shared" si="21"/>
        <v>-2.6598960874381454</v>
      </c>
      <c r="AF107" s="18">
        <f t="shared" si="22"/>
        <v>-1.4590921974161014E-2</v>
      </c>
      <c r="AG107" s="18">
        <f t="shared" si="36"/>
        <v>-0.63837506098515495</v>
      </c>
      <c r="AH107" s="19">
        <f t="shared" si="37"/>
        <v>4.2889217814788623</v>
      </c>
      <c r="AI107" s="19">
        <f t="shared" si="23"/>
        <v>8.3123868145465405</v>
      </c>
      <c r="AJ107" s="40">
        <f t="shared" si="24"/>
        <v>-6.2025688689091343</v>
      </c>
      <c r="AK107" s="40">
        <f t="shared" si="25"/>
        <v>-2.1791038358414561</v>
      </c>
      <c r="AL107" s="40">
        <f t="shared" si="26"/>
        <v>13.207272526817675</v>
      </c>
      <c r="AM107" s="40">
        <f t="shared" si="27"/>
        <v>17.496194308296538</v>
      </c>
      <c r="AN107" s="40">
        <f t="shared" si="38"/>
        <v>9.1838074937499972</v>
      </c>
      <c r="AO107" s="40">
        <f t="shared" si="28"/>
        <v>7.0047036579085411</v>
      </c>
      <c r="AP107" s="17">
        <f t="shared" si="29"/>
        <v>0.27255370248850352</v>
      </c>
      <c r="BA107" s="13"/>
      <c r="BB107" s="13"/>
      <c r="BC107" s="13"/>
      <c r="BD107" s="13"/>
      <c r="BE107" s="13"/>
      <c r="BF107" s="41"/>
    </row>
    <row r="108" spans="2:58" ht="13.5" x14ac:dyDescent="0.25">
      <c r="B108" s="2">
        <v>31</v>
      </c>
      <c r="C108" s="2">
        <f t="shared" si="30"/>
        <v>2039</v>
      </c>
      <c r="D108" s="36">
        <f t="shared" si="39"/>
        <v>16.576966303456029</v>
      </c>
      <c r="E108" s="36">
        <f t="shared" si="31"/>
        <v>16.319269673110419</v>
      </c>
      <c r="F108" s="36">
        <f t="shared" si="32"/>
        <v>2.8053019698300057</v>
      </c>
      <c r="G108" s="36">
        <f t="shared" si="33"/>
        <v>2.7247717728470064</v>
      </c>
      <c r="H108" s="37">
        <f t="shared" si="0"/>
        <v>156.20666168810629</v>
      </c>
      <c r="I108" s="37">
        <f t="shared" si="1"/>
        <v>146.05637834434566</v>
      </c>
      <c r="J108" s="37">
        <f t="shared" si="2"/>
        <v>56.230384246168981</v>
      </c>
      <c r="K108" s="37">
        <f t="shared" si="3"/>
        <v>53.823915715958186</v>
      </c>
      <c r="L108" s="37">
        <f t="shared" si="4"/>
        <v>99.976277441937313</v>
      </c>
      <c r="M108" s="37">
        <f t="shared" si="5"/>
        <v>92.232462628387481</v>
      </c>
      <c r="N108" s="38">
        <f t="shared" si="6"/>
        <v>461.25</v>
      </c>
      <c r="O108" s="38">
        <f t="shared" si="34"/>
        <v>343.75</v>
      </c>
      <c r="P108" s="16">
        <f t="shared" si="7"/>
        <v>25.936264733545443</v>
      </c>
      <c r="Q108" s="16">
        <f t="shared" si="8"/>
        <v>34.366845370665949</v>
      </c>
      <c r="R108" s="18">
        <f t="shared" si="9"/>
        <v>-9.0454665156317091</v>
      </c>
      <c r="S108" s="38">
        <f t="shared" si="10"/>
        <v>152.21249999999998</v>
      </c>
      <c r="T108" s="38">
        <f t="shared" si="11"/>
        <v>343.75</v>
      </c>
      <c r="U108" s="16">
        <f t="shared" si="12"/>
        <v>8.1926727709152836</v>
      </c>
      <c r="V108" s="16">
        <f t="shared" si="13"/>
        <v>31.704909028508197</v>
      </c>
      <c r="W108" s="18">
        <f t="shared" si="14"/>
        <v>-5.9846372699135211</v>
      </c>
      <c r="X108" s="18">
        <f t="shared" si="15"/>
        <v>15.803688394687216</v>
      </c>
      <c r="Y108" s="18">
        <f t="shared" si="16"/>
        <v>10.455993884395001</v>
      </c>
      <c r="Z108" s="39">
        <f t="shared" si="35"/>
        <v>0.5</v>
      </c>
      <c r="AA108" s="18">
        <f t="shared" si="17"/>
        <v>-7.4999999999999997E-2</v>
      </c>
      <c r="AB108" s="18">
        <f t="shared" si="18"/>
        <v>0.13103543388870362</v>
      </c>
      <c r="AC108" s="18">
        <f t="shared" si="19"/>
        <v>7.7741141527823991</v>
      </c>
      <c r="AD108" s="18">
        <f t="shared" si="20"/>
        <v>-5.9197184250896699E-2</v>
      </c>
      <c r="AE108" s="18">
        <f t="shared" si="21"/>
        <v>-2.7190932716890419</v>
      </c>
      <c r="AF108" s="18">
        <f t="shared" si="22"/>
        <v>-1.4207324220215208E-2</v>
      </c>
      <c r="AG108" s="18">
        <f t="shared" si="36"/>
        <v>-0.65258238520537015</v>
      </c>
      <c r="AH108" s="19">
        <f t="shared" si="37"/>
        <v>4.4929305289738579</v>
      </c>
      <c r="AI108" s="19">
        <f t="shared" si="23"/>
        <v>8.3937181582220344</v>
      </c>
      <c r="AJ108" s="40">
        <f t="shared" si="24"/>
        <v>-5.963063355421145</v>
      </c>
      <c r="AK108" s="40">
        <f t="shared" si="25"/>
        <v>-2.0622757261729685</v>
      </c>
      <c r="AL108" s="40">
        <f t="shared" si="26"/>
        <v>13.084595122998174</v>
      </c>
      <c r="AM108" s="40">
        <f t="shared" si="27"/>
        <v>17.577525651972032</v>
      </c>
      <c r="AN108" s="40">
        <f t="shared" si="38"/>
        <v>9.1838074937499972</v>
      </c>
      <c r="AO108" s="40">
        <f t="shared" si="28"/>
        <v>7.1215317675770287</v>
      </c>
      <c r="AP108" s="17">
        <f t="shared" si="29"/>
        <v>0.26207086777740729</v>
      </c>
      <c r="BF108" s="41"/>
    </row>
    <row r="109" spans="2:58" ht="13.5" x14ac:dyDescent="0.25">
      <c r="B109" s="2">
        <v>32</v>
      </c>
      <c r="C109" s="2">
        <f t="shared" si="30"/>
        <v>2040</v>
      </c>
      <c r="D109" s="36">
        <f t="shared" si="39"/>
        <v>16.65019664042147</v>
      </c>
      <c r="E109" s="36">
        <f t="shared" si="31"/>
        <v>16.385176976379316</v>
      </c>
      <c r="F109" s="36">
        <f t="shared" si="32"/>
        <v>2.8281864501317058</v>
      </c>
      <c r="G109" s="36">
        <f t="shared" si="33"/>
        <v>2.7453678051185362</v>
      </c>
      <c r="H109" s="37">
        <f t="shared" si="0"/>
        <v>159.17572323756679</v>
      </c>
      <c r="I109" s="37">
        <f t="shared" si="1"/>
        <v>148.60856752292102</v>
      </c>
      <c r="J109" s="37">
        <f t="shared" si="2"/>
        <v>56.922307544709255</v>
      </c>
      <c r="K109" s="37">
        <f t="shared" si="3"/>
        <v>54.435173355360192</v>
      </c>
      <c r="L109" s="37">
        <f t="shared" si="4"/>
        <v>102.25341569285753</v>
      </c>
      <c r="M109" s="37">
        <f t="shared" si="5"/>
        <v>94.173394167560829</v>
      </c>
      <c r="N109" s="38">
        <f t="shared" si="6"/>
        <v>469.125</v>
      </c>
      <c r="O109" s="38">
        <f t="shared" si="34"/>
        <v>349.375</v>
      </c>
      <c r="P109" s="16">
        <f t="shared" si="7"/>
        <v>26.703677526911729</v>
      </c>
      <c r="Q109" s="16">
        <f t="shared" si="8"/>
        <v>35.724787107692102</v>
      </c>
      <c r="R109" s="18">
        <f t="shared" si="9"/>
        <v>-9.3642696951905737</v>
      </c>
      <c r="S109" s="38">
        <f t="shared" si="10"/>
        <v>154.81125</v>
      </c>
      <c r="T109" s="38">
        <f t="shared" si="11"/>
        <v>349.375</v>
      </c>
      <c r="U109" s="16">
        <f t="shared" si="12"/>
        <v>8.4271772311100062</v>
      </c>
      <c r="V109" s="16">
        <f t="shared" si="13"/>
        <v>32.901829587291566</v>
      </c>
      <c r="W109" s="18">
        <f t="shared" si="14"/>
        <v>-6.1993510227602355</v>
      </c>
      <c r="X109" s="18">
        <f t="shared" si="15"/>
        <v>15.731424904617121</v>
      </c>
      <c r="Y109" s="18">
        <f t="shared" si="16"/>
        <v>10.414546808920079</v>
      </c>
      <c r="Z109" s="39">
        <f t="shared" si="35"/>
        <v>0.5</v>
      </c>
      <c r="AA109" s="18">
        <f t="shared" si="17"/>
        <v>-7.4999999999999997E-2</v>
      </c>
      <c r="AB109" s="18">
        <f t="shared" si="18"/>
        <v>0.12599560950836888</v>
      </c>
      <c r="AC109" s="18">
        <f t="shared" si="19"/>
        <v>7.9001097622907679</v>
      </c>
      <c r="AD109" s="18">
        <f t="shared" si="20"/>
        <v>-5.763187409041625E-2</v>
      </c>
      <c r="AE109" s="18">
        <f t="shared" si="21"/>
        <v>-2.7767251457794582</v>
      </c>
      <c r="AF109" s="18">
        <f t="shared" si="22"/>
        <v>-1.3831649781699899E-2</v>
      </c>
      <c r="AG109" s="18">
        <f t="shared" si="36"/>
        <v>-0.66641403498707008</v>
      </c>
      <c r="AH109" s="19">
        <f t="shared" si="37"/>
        <v>4.6935427773861136</v>
      </c>
      <c r="AI109" s="19">
        <f t="shared" si="23"/>
        <v>8.4644350424737791</v>
      </c>
      <c r="AJ109" s="40">
        <f t="shared" si="24"/>
        <v>-5.7210040315339645</v>
      </c>
      <c r="AK109" s="40">
        <f t="shared" si="25"/>
        <v>-1.950111766446299</v>
      </c>
      <c r="AL109" s="40">
        <f t="shared" si="26"/>
        <v>12.954699758837663</v>
      </c>
      <c r="AM109" s="40">
        <f t="shared" si="27"/>
        <v>17.648242536223776</v>
      </c>
      <c r="AN109" s="40">
        <f t="shared" si="38"/>
        <v>9.1838074937499972</v>
      </c>
      <c r="AO109" s="40">
        <f t="shared" si="28"/>
        <v>7.2336957273036981</v>
      </c>
      <c r="AP109" s="17">
        <f t="shared" si="29"/>
        <v>0.25199121901673777</v>
      </c>
      <c r="BF109" s="42"/>
    </row>
    <row r="110" spans="2:58" ht="13.5" x14ac:dyDescent="0.25">
      <c r="B110" s="2">
        <v>33</v>
      </c>
      <c r="C110" s="2">
        <f t="shared" si="30"/>
        <v>2041</v>
      </c>
      <c r="D110" s="36">
        <f t="shared" si="39"/>
        <v>16.722694674017255</v>
      </c>
      <c r="E110" s="36">
        <f t="shared" si="31"/>
        <v>16.450425206615524</v>
      </c>
      <c r="F110" s="36">
        <f t="shared" si="32"/>
        <v>2.8508420856303887</v>
      </c>
      <c r="G110" s="36">
        <f t="shared" si="33"/>
        <v>2.765757877067351</v>
      </c>
      <c r="H110" s="37">
        <f t="shared" si="0"/>
        <v>162.15242104489613</v>
      </c>
      <c r="I110" s="37">
        <f t="shared" si="1"/>
        <v>151.16477766927875</v>
      </c>
      <c r="J110" s="37">
        <f t="shared" si="2"/>
        <v>57.610830131801308</v>
      </c>
      <c r="K110" s="37">
        <f t="shared" si="3"/>
        <v>55.043168420813302</v>
      </c>
      <c r="L110" s="37">
        <f t="shared" si="4"/>
        <v>104.54159091309482</v>
      </c>
      <c r="M110" s="37">
        <f t="shared" si="5"/>
        <v>96.121609248465447</v>
      </c>
      <c r="N110" s="38">
        <f t="shared" si="6"/>
        <v>477</v>
      </c>
      <c r="O110" s="38">
        <f t="shared" si="34"/>
        <v>355</v>
      </c>
      <c r="P110" s="16">
        <f t="shared" si="7"/>
        <v>27.480365972869222</v>
      </c>
      <c r="Q110" s="16">
        <f t="shared" si="8"/>
        <v>37.112264774148663</v>
      </c>
      <c r="R110" s="18">
        <f t="shared" si="9"/>
        <v>-9.6888946120526835</v>
      </c>
      <c r="S110" s="38">
        <f t="shared" si="10"/>
        <v>157.41</v>
      </c>
      <c r="T110" s="38">
        <f t="shared" si="11"/>
        <v>355</v>
      </c>
      <c r="U110" s="16">
        <f t="shared" si="12"/>
        <v>8.6643451411202221</v>
      </c>
      <c r="V110" s="16">
        <f t="shared" si="13"/>
        <v>34.123171283205231</v>
      </c>
      <c r="W110" s="18">
        <f t="shared" si="14"/>
        <v>-6.4181274636488181</v>
      </c>
      <c r="X110" s="18">
        <f t="shared" si="15"/>
        <v>15.650745924460628</v>
      </c>
      <c r="Y110" s="18">
        <f t="shared" si="16"/>
        <v>10.367383098523518</v>
      </c>
      <c r="Z110" s="39">
        <f t="shared" si="35"/>
        <v>0.5</v>
      </c>
      <c r="AA110" s="18">
        <f t="shared" si="17"/>
        <v>-7.4999999999999997E-2</v>
      </c>
      <c r="AB110" s="18">
        <f t="shared" si="18"/>
        <v>0.12114962452727775</v>
      </c>
      <c r="AC110" s="18">
        <f t="shared" si="19"/>
        <v>8.0212593868180448</v>
      </c>
      <c r="AD110" s="18">
        <f t="shared" si="20"/>
        <v>-5.6099402604631199E-2</v>
      </c>
      <c r="AE110" s="18">
        <f t="shared" si="21"/>
        <v>-2.8328245483840893</v>
      </c>
      <c r="AF110" s="18">
        <f t="shared" si="22"/>
        <v>-1.3463856625111488E-2</v>
      </c>
      <c r="AG110" s="18">
        <f t="shared" si="36"/>
        <v>-0.6798778916121816</v>
      </c>
      <c r="AH110" s="19">
        <f t="shared" si="37"/>
        <v>4.8908432176528418</v>
      </c>
      <c r="AI110" s="19">
        <f t="shared" si="23"/>
        <v>8.5249570999793836</v>
      </c>
      <c r="AJ110" s="40">
        <f t="shared" si="24"/>
        <v>-5.4765398808706758</v>
      </c>
      <c r="AK110" s="40">
        <f t="shared" si="25"/>
        <v>-1.842425998544134</v>
      </c>
      <c r="AL110" s="40">
        <f t="shared" si="26"/>
        <v>12.817921376076539</v>
      </c>
      <c r="AM110" s="40">
        <f t="shared" si="27"/>
        <v>17.708764593729381</v>
      </c>
      <c r="AN110" s="40">
        <f t="shared" si="38"/>
        <v>9.1838074937499972</v>
      </c>
      <c r="AO110" s="40">
        <f t="shared" si="28"/>
        <v>7.3413814952058631</v>
      </c>
      <c r="AP110" s="17">
        <f t="shared" si="29"/>
        <v>0.24229924905455549</v>
      </c>
      <c r="BF110" s="42"/>
    </row>
    <row r="111" spans="2:58" ht="13.5" x14ac:dyDescent="0.25">
      <c r="B111" s="2">
        <v>34</v>
      </c>
      <c r="C111" s="2">
        <f t="shared" si="30"/>
        <v>2042</v>
      </c>
      <c r="D111" s="36">
        <f t="shared" si="39"/>
        <v>16.794467727277084</v>
      </c>
      <c r="E111" s="36">
        <f t="shared" si="31"/>
        <v>16.515020954549367</v>
      </c>
      <c r="F111" s="36">
        <f t="shared" si="32"/>
        <v>2.873271164774085</v>
      </c>
      <c r="G111" s="36">
        <f t="shared" si="33"/>
        <v>2.7859440482966775</v>
      </c>
      <c r="H111" s="37">
        <f t="shared" si="0"/>
        <v>165.13616265938339</v>
      </c>
      <c r="I111" s="37">
        <f t="shared" si="1"/>
        <v>153.72454866569177</v>
      </c>
      <c r="J111" s="37">
        <f t="shared" si="2"/>
        <v>58.29591599598109</v>
      </c>
      <c r="K111" s="37">
        <f t="shared" si="3"/>
        <v>55.647876823008346</v>
      </c>
      <c r="L111" s="37">
        <f t="shared" si="4"/>
        <v>106.8402466634023</v>
      </c>
      <c r="M111" s="37">
        <f t="shared" si="5"/>
        <v>98.076671842683425</v>
      </c>
      <c r="N111" s="38">
        <f t="shared" si="6"/>
        <v>484.875</v>
      </c>
      <c r="O111" s="38">
        <f t="shared" si="34"/>
        <v>360.625</v>
      </c>
      <c r="P111" s="16">
        <f t="shared" si="7"/>
        <v>28.266232268551331</v>
      </c>
      <c r="Q111" s="16">
        <f t="shared" si="8"/>
        <v>38.529263952989453</v>
      </c>
      <c r="R111" s="18">
        <f t="shared" si="9"/>
        <v>-10.019324433231118</v>
      </c>
      <c r="S111" s="38">
        <f t="shared" si="10"/>
        <v>160.00874999999999</v>
      </c>
      <c r="T111" s="38">
        <f t="shared" si="11"/>
        <v>360.625</v>
      </c>
      <c r="U111" s="16">
        <f t="shared" si="12"/>
        <v>8.9041472106035364</v>
      </c>
      <c r="V111" s="16">
        <f t="shared" si="13"/>
        <v>35.368899783267707</v>
      </c>
      <c r="W111" s="18">
        <f t="shared" si="14"/>
        <v>-6.6409570490806873</v>
      </c>
      <c r="X111" s="18">
        <f t="shared" si="15"/>
        <v>15.562017860293974</v>
      </c>
      <c r="Y111" s="18">
        <f t="shared" si="16"/>
        <v>10.3147365768962</v>
      </c>
      <c r="Z111" s="39">
        <f t="shared" si="35"/>
        <v>0.5</v>
      </c>
      <c r="AA111" s="18">
        <f t="shared" si="17"/>
        <v>-7.4999999999999997E-2</v>
      </c>
      <c r="AB111" s="18">
        <f t="shared" si="18"/>
        <v>0.11649002358392091</v>
      </c>
      <c r="AC111" s="18">
        <f t="shared" si="19"/>
        <v>8.1377494104019661</v>
      </c>
      <c r="AD111" s="18">
        <f t="shared" si="20"/>
        <v>-5.459955928921658E-2</v>
      </c>
      <c r="AE111" s="18">
        <f t="shared" si="21"/>
        <v>-2.887424107673306</v>
      </c>
      <c r="AF111" s="18">
        <f t="shared" si="22"/>
        <v>-1.3103894229411977E-2</v>
      </c>
      <c r="AG111" s="18">
        <f t="shared" si="36"/>
        <v>-0.69298178584159353</v>
      </c>
      <c r="AH111" s="19">
        <f t="shared" si="37"/>
        <v>5.0849104488359078</v>
      </c>
      <c r="AI111" s="19">
        <f t="shared" si="23"/>
        <v>8.5756967077065784</v>
      </c>
      <c r="AJ111" s="40">
        <f t="shared" si="24"/>
        <v>-5.2298261280602949</v>
      </c>
      <c r="AK111" s="40">
        <f t="shared" si="25"/>
        <v>-1.7390398691896243</v>
      </c>
      <c r="AL111" s="40">
        <f t="shared" si="26"/>
        <v>12.674593752620668</v>
      </c>
      <c r="AM111" s="40">
        <f t="shared" si="27"/>
        <v>17.759504201456576</v>
      </c>
      <c r="AN111" s="40">
        <f t="shared" si="38"/>
        <v>9.1838074937499972</v>
      </c>
      <c r="AO111" s="40">
        <f t="shared" si="28"/>
        <v>7.4447676245603729</v>
      </c>
      <c r="AP111" s="17">
        <f t="shared" si="29"/>
        <v>0.23298004716784185</v>
      </c>
      <c r="BF111" s="42"/>
    </row>
    <row r="112" spans="2:58" x14ac:dyDescent="0.2">
      <c r="B112" s="2">
        <v>35</v>
      </c>
      <c r="C112" s="2">
        <f t="shared" si="30"/>
        <v>2043</v>
      </c>
      <c r="D112" s="36">
        <f t="shared" si="39"/>
        <v>16.865523050004313</v>
      </c>
      <c r="E112" s="36">
        <f t="shared" si="31"/>
        <v>16.578970745003872</v>
      </c>
      <c r="F112" s="36">
        <f t="shared" si="32"/>
        <v>2.8954759531263439</v>
      </c>
      <c r="G112" s="36">
        <f t="shared" si="33"/>
        <v>2.8059283578137109</v>
      </c>
      <c r="H112" s="37">
        <f t="shared" si="0"/>
        <v>168.12636411953503</v>
      </c>
      <c r="I112" s="37">
        <f t="shared" si="1"/>
        <v>156.28742772461129</v>
      </c>
      <c r="J112" s="37">
        <f t="shared" si="2"/>
        <v>58.977530879268798</v>
      </c>
      <c r="K112" s="37">
        <f t="shared" si="3"/>
        <v>56.249275842158738</v>
      </c>
      <c r="L112" s="37">
        <f t="shared" si="4"/>
        <v>109.14883324026623</v>
      </c>
      <c r="M112" s="37">
        <f t="shared" si="5"/>
        <v>100.03815188245255</v>
      </c>
      <c r="N112" s="38">
        <f t="shared" si="6"/>
        <v>492.75</v>
      </c>
      <c r="O112" s="38">
        <f t="shared" si="34"/>
        <v>366.25</v>
      </c>
      <c r="P112" s="16">
        <f t="shared" si="7"/>
        <v>29.061178340759703</v>
      </c>
      <c r="Q112" s="16">
        <f t="shared" si="8"/>
        <v>39.975760174247512</v>
      </c>
      <c r="R112" s="18">
        <f t="shared" si="9"/>
        <v>-10.355540777251083</v>
      </c>
      <c r="S112" s="38">
        <f t="shared" si="10"/>
        <v>162.60750000000002</v>
      </c>
      <c r="T112" s="38">
        <f t="shared" si="11"/>
        <v>366.25</v>
      </c>
      <c r="U112" s="16">
        <f t="shared" si="12"/>
        <v>9.1465541215038275</v>
      </c>
      <c r="V112" s="16">
        <f t="shared" si="13"/>
        <v>36.638973126948251</v>
      </c>
      <c r="W112" s="18">
        <f t="shared" si="14"/>
        <v>-6.8678290872678112</v>
      </c>
      <c r="X112" s="18">
        <f t="shared" si="15"/>
        <v>15.465604991874788</v>
      </c>
      <c r="Y112" s="18">
        <f t="shared" si="16"/>
        <v>10.256840671104683</v>
      </c>
      <c r="Z112" s="39">
        <f t="shared" si="35"/>
        <v>0.5</v>
      </c>
      <c r="AA112" s="18">
        <f t="shared" si="17"/>
        <v>-7.4999999999999997E-2</v>
      </c>
      <c r="AB112" s="18">
        <f t="shared" si="18"/>
        <v>0.1120096380614624</v>
      </c>
      <c r="AC112" s="18">
        <f t="shared" si="19"/>
        <v>8.249759048463428</v>
      </c>
      <c r="AD112" s="18">
        <f t="shared" si="20"/>
        <v>-5.313210125456664E-2</v>
      </c>
      <c r="AE112" s="18">
        <f t="shared" si="21"/>
        <v>-2.9405562089278727</v>
      </c>
      <c r="AF112" s="18">
        <f t="shared" si="22"/>
        <v>-1.2751704301095993E-2</v>
      </c>
      <c r="AG112" s="18">
        <f t="shared" si="36"/>
        <v>-0.70573349014268949</v>
      </c>
      <c r="AH112" s="19">
        <f t="shared" si="37"/>
        <v>5.2758174464785093</v>
      </c>
      <c r="AI112" s="19">
        <f t="shared" si="23"/>
        <v>8.6170587356754265</v>
      </c>
      <c r="AJ112" s="40">
        <f t="shared" si="24"/>
        <v>-4.9810232246261759</v>
      </c>
      <c r="AK112" s="40">
        <f t="shared" si="25"/>
        <v>-1.6397819354292587</v>
      </c>
      <c r="AL112" s="40">
        <f t="shared" si="26"/>
        <v>12.525048782946914</v>
      </c>
      <c r="AM112" s="40">
        <f t="shared" si="27"/>
        <v>17.800866229425424</v>
      </c>
      <c r="AN112" s="40">
        <f t="shared" si="38"/>
        <v>9.1838074937499972</v>
      </c>
      <c r="AO112" s="40">
        <f t="shared" si="28"/>
        <v>7.5440255583207385</v>
      </c>
      <c r="AP112" s="17">
        <f t="shared" si="29"/>
        <v>0.22401927612292483</v>
      </c>
    </row>
    <row r="113" spans="1:152" x14ac:dyDescent="0.2">
      <c r="B113" s="2">
        <v>36</v>
      </c>
      <c r="C113" s="2">
        <f t="shared" si="30"/>
        <v>2044</v>
      </c>
      <c r="D113" s="36">
        <f t="shared" si="39"/>
        <v>16.935867819504271</v>
      </c>
      <c r="E113" s="36">
        <f t="shared" si="31"/>
        <v>16.642281037553833</v>
      </c>
      <c r="F113" s="36">
        <f t="shared" si="32"/>
        <v>2.9174586935950804</v>
      </c>
      <c r="G113" s="36">
        <f t="shared" si="33"/>
        <v>2.8257128242355738</v>
      </c>
      <c r="H113" s="37">
        <f t="shared" si="0"/>
        <v>171.12245008429426</v>
      </c>
      <c r="I113" s="37">
        <f t="shared" si="1"/>
        <v>158.85296945331339</v>
      </c>
      <c r="J113" s="37">
        <f t="shared" si="2"/>
        <v>59.655642231906171</v>
      </c>
      <c r="K113" s="37">
        <f t="shared" si="3"/>
        <v>56.847344091845486</v>
      </c>
      <c r="L113" s="37">
        <f t="shared" si="4"/>
        <v>111.46680785238809</v>
      </c>
      <c r="M113" s="37">
        <f t="shared" si="5"/>
        <v>102.00562536146791</v>
      </c>
      <c r="N113" s="38">
        <f t="shared" si="6"/>
        <v>500.625</v>
      </c>
      <c r="O113" s="38">
        <f t="shared" si="34"/>
        <v>371.875</v>
      </c>
      <c r="P113" s="16">
        <f t="shared" si="7"/>
        <v>29.865105892348026</v>
      </c>
      <c r="Q113" s="16">
        <f t="shared" si="8"/>
        <v>41.45171917010682</v>
      </c>
      <c r="R113" s="18">
        <f t="shared" si="9"/>
        <v>-10.697523759368227</v>
      </c>
      <c r="S113" s="38">
        <f t="shared" si="10"/>
        <v>165.20625000000001</v>
      </c>
      <c r="T113" s="38">
        <f t="shared" si="11"/>
        <v>371.875</v>
      </c>
      <c r="U113" s="16">
        <f t="shared" si="12"/>
        <v>9.3915365398734476</v>
      </c>
      <c r="V113" s="16">
        <f t="shared" si="13"/>
        <v>37.933341931295878</v>
      </c>
      <c r="W113" s="18">
        <f t="shared" si="14"/>
        <v>-7.098731770675399</v>
      </c>
      <c r="X113" s="18">
        <f t="shared" si="15"/>
        <v>15.361868774881152</v>
      </c>
      <c r="Y113" s="18">
        <f t="shared" si="16"/>
        <v>10.193927901650712</v>
      </c>
      <c r="Z113" s="39">
        <f t="shared" si="35"/>
        <v>0.5</v>
      </c>
      <c r="AA113" s="18">
        <f t="shared" si="17"/>
        <v>-7.4999999999999997E-2</v>
      </c>
      <c r="AB113" s="18">
        <f t="shared" si="18"/>
        <v>0.10770157505909846</v>
      </c>
      <c r="AC113" s="18">
        <f t="shared" si="19"/>
        <v>8.3574606235225257</v>
      </c>
      <c r="AD113" s="18">
        <f t="shared" si="20"/>
        <v>-5.1696756028367263E-2</v>
      </c>
      <c r="AE113" s="18">
        <f t="shared" si="21"/>
        <v>-2.9922529649562399</v>
      </c>
      <c r="AF113" s="18">
        <f t="shared" si="22"/>
        <v>-1.240722144680814E-2</v>
      </c>
      <c r="AG113" s="18">
        <f t="shared" si="36"/>
        <v>-0.71814071158949766</v>
      </c>
      <c r="AH113" s="19">
        <f t="shared" si="37"/>
        <v>5.4636320036588266</v>
      </c>
      <c r="AI113" s="19">
        <f t="shared" si="23"/>
        <v>8.649440319833742</v>
      </c>
      <c r="AJ113" s="40">
        <f t="shared" si="24"/>
        <v>-4.7302958979918843</v>
      </c>
      <c r="AK113" s="40">
        <f t="shared" si="25"/>
        <v>-1.544487581816969</v>
      </c>
      <c r="AL113" s="40">
        <f t="shared" si="26"/>
        <v>12.369615809924912</v>
      </c>
      <c r="AM113" s="40">
        <f t="shared" si="27"/>
        <v>17.833247813583739</v>
      </c>
      <c r="AN113" s="40">
        <f t="shared" si="38"/>
        <v>9.1838074937499972</v>
      </c>
      <c r="AO113" s="40">
        <f t="shared" si="28"/>
        <v>7.6393199119330282</v>
      </c>
      <c r="AP113" s="17">
        <f t="shared" si="29"/>
        <v>0.21540315011819694</v>
      </c>
    </row>
    <row r="114" spans="1:152" x14ac:dyDescent="0.2">
      <c r="B114" s="2">
        <v>37</v>
      </c>
      <c r="C114" s="2">
        <f t="shared" si="30"/>
        <v>2045</v>
      </c>
      <c r="D114" s="36">
        <f t="shared" si="39"/>
        <v>17.005509141309229</v>
      </c>
      <c r="E114" s="36">
        <f t="shared" si="31"/>
        <v>16.704958227178295</v>
      </c>
      <c r="F114" s="36">
        <f t="shared" si="32"/>
        <v>2.9392216066591295</v>
      </c>
      <c r="G114" s="36">
        <f t="shared" si="33"/>
        <v>2.8452994459932182</v>
      </c>
      <c r="H114" s="37">
        <f t="shared" si="0"/>
        <v>174.12385394920517</v>
      </c>
      <c r="I114" s="37">
        <f t="shared" si="1"/>
        <v>161.42073590845251</v>
      </c>
      <c r="J114" s="37">
        <f t="shared" si="2"/>
        <v>60.330219168097855</v>
      </c>
      <c r="K114" s="37">
        <f t="shared" si="3"/>
        <v>57.442061483670749</v>
      </c>
      <c r="L114" s="37">
        <f t="shared" si="4"/>
        <v>113.79363478110731</v>
      </c>
      <c r="M114" s="37">
        <f t="shared" si="5"/>
        <v>103.97867442478176</v>
      </c>
      <c r="N114" s="38">
        <f t="shared" si="6"/>
        <v>508.5</v>
      </c>
      <c r="O114" s="38">
        <f t="shared" si="34"/>
        <v>377.5</v>
      </c>
      <c r="P114" s="16">
        <f t="shared" si="7"/>
        <v>30.677916446977758</v>
      </c>
      <c r="Q114" s="16">
        <f t="shared" si="8"/>
        <v>42.957097129868011</v>
      </c>
      <c r="R114" s="18">
        <f t="shared" si="9"/>
        <v>-11.045252036526865</v>
      </c>
      <c r="S114" s="38">
        <f t="shared" si="10"/>
        <v>167.80500000000001</v>
      </c>
      <c r="T114" s="38">
        <f t="shared" si="11"/>
        <v>377.5</v>
      </c>
      <c r="U114" s="16">
        <f t="shared" si="12"/>
        <v>9.6390651272673704</v>
      </c>
      <c r="V114" s="16">
        <f t="shared" si="13"/>
        <v>39.251949595355114</v>
      </c>
      <c r="W114" s="18">
        <f t="shared" si="14"/>
        <v>-7.3336522083933726</v>
      </c>
      <c r="X114" s="18">
        <f t="shared" si="15"/>
        <v>15.251167195623825</v>
      </c>
      <c r="Y114" s="18">
        <f t="shared" si="16"/>
        <v>10.126229407430795</v>
      </c>
      <c r="Z114" s="39">
        <f t="shared" si="35"/>
        <v>0.5</v>
      </c>
      <c r="AA114" s="18">
        <f t="shared" si="17"/>
        <v>-7.4999999999999997E-2</v>
      </c>
      <c r="AB114" s="18">
        <f t="shared" si="18"/>
        <v>0.10355920678759468</v>
      </c>
      <c r="AC114" s="18">
        <f t="shared" si="19"/>
        <v>8.4610198303101196</v>
      </c>
      <c r="AD114" s="18">
        <f t="shared" si="20"/>
        <v>-5.0293224190493035E-2</v>
      </c>
      <c r="AE114" s="18">
        <f t="shared" si="21"/>
        <v>-3.0425461891467331</v>
      </c>
      <c r="AF114" s="18">
        <f t="shared" si="22"/>
        <v>-1.2070373805718329E-2</v>
      </c>
      <c r="AG114" s="18">
        <f t="shared" si="36"/>
        <v>-0.73021108539521595</v>
      </c>
      <c r="AH114" s="19">
        <f t="shared" si="37"/>
        <v>5.6484171458686063</v>
      </c>
      <c r="AI114" s="19">
        <f t="shared" si="23"/>
        <v>8.6732306585957009</v>
      </c>
      <c r="AJ114" s="40">
        <f t="shared" si="24"/>
        <v>-4.477812261562188</v>
      </c>
      <c r="AK114" s="40">
        <f t="shared" si="25"/>
        <v>-1.4529987488350935</v>
      </c>
      <c r="AL114" s="40">
        <f t="shared" si="26"/>
        <v>12.208621006477092</v>
      </c>
      <c r="AM114" s="40">
        <f t="shared" si="27"/>
        <v>17.857038152345698</v>
      </c>
      <c r="AN114" s="40">
        <f t="shared" si="38"/>
        <v>9.1838074937499972</v>
      </c>
      <c r="AO114" s="40">
        <f t="shared" si="28"/>
        <v>7.7308087449149037</v>
      </c>
      <c r="AP114" s="17">
        <f t="shared" si="29"/>
        <v>0.20711841357518937</v>
      </c>
    </row>
    <row r="115" spans="1:152" x14ac:dyDescent="0.2">
      <c r="B115" s="2">
        <v>38</v>
      </c>
      <c r="C115" s="2">
        <f t="shared" si="30"/>
        <v>2046</v>
      </c>
      <c r="D115" s="36">
        <f t="shared" si="39"/>
        <v>17.074454049896136</v>
      </c>
      <c r="E115" s="36">
        <f t="shared" si="31"/>
        <v>16.767008644906511</v>
      </c>
      <c r="F115" s="36">
        <f t="shared" si="32"/>
        <v>2.9607668905925379</v>
      </c>
      <c r="G115" s="36">
        <f t="shared" si="33"/>
        <v>2.864690201533286</v>
      </c>
      <c r="H115" s="37">
        <f t="shared" si="0"/>
        <v>177.13001794828278</v>
      </c>
      <c r="I115" s="37">
        <f t="shared" si="1"/>
        <v>163.99029664105063</v>
      </c>
      <c r="J115" s="37">
        <f t="shared" si="2"/>
        <v>61.001232422736379</v>
      </c>
      <c r="K115" s="37">
        <f t="shared" si="3"/>
        <v>58.03340919270282</v>
      </c>
      <c r="L115" s="37">
        <f t="shared" si="4"/>
        <v>116.12878552554641</v>
      </c>
      <c r="M115" s="37">
        <f t="shared" si="5"/>
        <v>105.95688744834781</v>
      </c>
      <c r="N115" s="38">
        <f t="shared" si="6"/>
        <v>516.375</v>
      </c>
      <c r="O115" s="38">
        <f t="shared" si="34"/>
        <v>383.125</v>
      </c>
      <c r="P115" s="16">
        <f t="shared" si="7"/>
        <v>31.499511392290501</v>
      </c>
      <c r="Q115" s="16">
        <f t="shared" si="8"/>
        <v>44.491840954474966</v>
      </c>
      <c r="R115" s="18">
        <f t="shared" si="9"/>
        <v>-11.39870285201482</v>
      </c>
      <c r="S115" s="38">
        <f t="shared" si="10"/>
        <v>170.40375</v>
      </c>
      <c r="T115" s="38">
        <f t="shared" si="11"/>
        <v>383.125</v>
      </c>
      <c r="U115" s="16">
        <f t="shared" si="12"/>
        <v>9.889110551721032</v>
      </c>
      <c r="V115" s="16">
        <f t="shared" si="13"/>
        <v>40.594732503648252</v>
      </c>
      <c r="W115" s="18">
        <f t="shared" si="14"/>
        <v>-7.5725764583053925</v>
      </c>
      <c r="X115" s="18">
        <f t="shared" si="15"/>
        <v>15.13385417643779</v>
      </c>
      <c r="Y115" s="18">
        <f t="shared" si="16"/>
        <v>10.053974504622042</v>
      </c>
      <c r="Z115" s="39">
        <f t="shared" si="35"/>
        <v>0.5</v>
      </c>
      <c r="AA115" s="18">
        <f t="shared" si="17"/>
        <v>-7.4999999999999997E-2</v>
      </c>
      <c r="AB115" s="18">
        <f t="shared" si="18"/>
        <v>9.957616037268717E-2</v>
      </c>
      <c r="AC115" s="18">
        <f t="shared" si="19"/>
        <v>8.5605959906828062</v>
      </c>
      <c r="AD115" s="18">
        <f t="shared" si="20"/>
        <v>-4.8921181848981365E-2</v>
      </c>
      <c r="AE115" s="18">
        <f t="shared" si="21"/>
        <v>-3.0914673709957143</v>
      </c>
      <c r="AF115" s="18">
        <f t="shared" si="22"/>
        <v>-1.1741083643755526E-2</v>
      </c>
      <c r="AG115" s="18">
        <f t="shared" si="36"/>
        <v>-0.74195216903897143</v>
      </c>
      <c r="AH115" s="19">
        <f t="shared" si="37"/>
        <v>5.8302315208237996</v>
      </c>
      <c r="AI115" s="19">
        <f t="shared" si="23"/>
        <v>8.6888108325158786</v>
      </c>
      <c r="AJ115" s="40">
        <f t="shared" si="24"/>
        <v>-4.2237429837982416</v>
      </c>
      <c r="AK115" s="40">
        <f t="shared" si="25"/>
        <v>-1.3651636721061626</v>
      </c>
      <c r="AL115" s="40">
        <f t="shared" si="26"/>
        <v>12.042386805442076</v>
      </c>
      <c r="AM115" s="40">
        <f t="shared" si="27"/>
        <v>17.872618326265876</v>
      </c>
      <c r="AN115" s="40">
        <f t="shared" si="38"/>
        <v>9.1838074937499972</v>
      </c>
      <c r="AO115" s="40">
        <f t="shared" si="28"/>
        <v>7.8186438216438345</v>
      </c>
      <c r="AP115" s="17">
        <f t="shared" si="29"/>
        <v>0.19915232074537431</v>
      </c>
    </row>
    <row r="116" spans="1:152" x14ac:dyDescent="0.2">
      <c r="B116" s="2">
        <v>39</v>
      </c>
      <c r="C116" s="2">
        <f t="shared" si="30"/>
        <v>2047</v>
      </c>
      <c r="D116" s="36">
        <f t="shared" si="39"/>
        <v>17.142709509397175</v>
      </c>
      <c r="E116" s="36">
        <f t="shared" si="31"/>
        <v>16.828438558457446</v>
      </c>
      <c r="F116" s="36">
        <f t="shared" si="32"/>
        <v>2.9820967216866126</v>
      </c>
      <c r="G116" s="36">
        <f t="shared" si="33"/>
        <v>2.8838870495179529</v>
      </c>
      <c r="H116" s="37">
        <f t="shared" si="0"/>
        <v>180.14039324232482</v>
      </c>
      <c r="I116" s="37">
        <f t="shared" si="1"/>
        <v>166.56122873242663</v>
      </c>
      <c r="J116" s="37">
        <f t="shared" si="2"/>
        <v>61.668654309089945</v>
      </c>
      <c r="K116" s="37">
        <f t="shared" si="3"/>
        <v>58.621369623696339</v>
      </c>
      <c r="L116" s="37">
        <f t="shared" si="4"/>
        <v>118.47173893323487</v>
      </c>
      <c r="M116" s="37">
        <f t="shared" si="5"/>
        <v>107.93985910873029</v>
      </c>
      <c r="N116" s="38">
        <f t="shared" si="6"/>
        <v>524.25</v>
      </c>
      <c r="O116" s="38">
        <f t="shared" si="34"/>
        <v>388.75</v>
      </c>
      <c r="P116" s="16">
        <f t="shared" si="7"/>
        <v>32.329792021540406</v>
      </c>
      <c r="Q116" s="16">
        <f t="shared" si="8"/>
        <v>46.055888510295055</v>
      </c>
      <c r="R116" s="18">
        <f t="shared" si="9"/>
        <v>-11.757852079775319</v>
      </c>
      <c r="S116" s="38">
        <f t="shared" si="10"/>
        <v>173.0025</v>
      </c>
      <c r="T116" s="38">
        <f t="shared" si="11"/>
        <v>388.75</v>
      </c>
      <c r="U116" s="16">
        <f t="shared" si="12"/>
        <v>10.141643498323527</v>
      </c>
      <c r="V116" s="16">
        <f t="shared" si="13"/>
        <v>41.961620228518896</v>
      </c>
      <c r="W116" s="18">
        <f t="shared" si="14"/>
        <v>-7.8154895590263624</v>
      </c>
      <c r="X116" s="18">
        <f t="shared" si="15"/>
        <v>15.010279029923598</v>
      </c>
      <c r="Y116" s="18">
        <f t="shared" si="16"/>
        <v>9.9773902784701463</v>
      </c>
      <c r="Z116" s="39">
        <f t="shared" si="35"/>
        <v>0.5</v>
      </c>
      <c r="AA116" s="18">
        <f t="shared" si="17"/>
        <v>-7.4999999999999997E-2</v>
      </c>
      <c r="AB116" s="18">
        <f t="shared" si="18"/>
        <v>9.5746308050660756E-2</v>
      </c>
      <c r="AC116" s="18">
        <f t="shared" si="19"/>
        <v>8.6563422987334668</v>
      </c>
      <c r="AD116" s="18">
        <f t="shared" si="20"/>
        <v>-4.7580282965410711E-2</v>
      </c>
      <c r="AE116" s="18">
        <f t="shared" si="21"/>
        <v>-3.139047653961125</v>
      </c>
      <c r="AF116" s="18">
        <f t="shared" si="22"/>
        <v>-1.1419267911698569E-2</v>
      </c>
      <c r="AG116" s="18">
        <f t="shared" si="36"/>
        <v>-0.75337143695066999</v>
      </c>
      <c r="AH116" s="19">
        <f t="shared" si="37"/>
        <v>6.0091297642904706</v>
      </c>
      <c r="AI116" s="19">
        <f t="shared" si="23"/>
        <v>8.6965536465029469</v>
      </c>
      <c r="AJ116" s="40">
        <f t="shared" si="24"/>
        <v>-3.9682605141796765</v>
      </c>
      <c r="AK116" s="40">
        <f t="shared" si="25"/>
        <v>-1.2808366319672002</v>
      </c>
      <c r="AL116" s="40">
        <f t="shared" si="26"/>
        <v>11.871231375962473</v>
      </c>
      <c r="AM116" s="40">
        <f t="shared" si="27"/>
        <v>17.880361140252944</v>
      </c>
      <c r="AN116" s="40">
        <f t="shared" si="38"/>
        <v>9.1838074937499972</v>
      </c>
      <c r="AO116" s="40">
        <f t="shared" si="28"/>
        <v>7.902970861782797</v>
      </c>
      <c r="AP116" s="17">
        <f t="shared" si="29"/>
        <v>0.19149261610132151</v>
      </c>
    </row>
    <row r="117" spans="1:152" x14ac:dyDescent="0.2">
      <c r="B117" s="2">
        <v>40</v>
      </c>
      <c r="C117" s="2">
        <f t="shared" si="30"/>
        <v>2048</v>
      </c>
      <c r="D117" s="36">
        <f t="shared" si="39"/>
        <v>17.210282414303204</v>
      </c>
      <c r="E117" s="36">
        <f t="shared" si="31"/>
        <v>16.889254172872871</v>
      </c>
      <c r="F117" s="36">
        <f t="shared" si="32"/>
        <v>3.0032132544697463</v>
      </c>
      <c r="G117" s="36">
        <f t="shared" si="33"/>
        <v>2.9028919290227733</v>
      </c>
      <c r="H117" s="37">
        <f t="shared" si="0"/>
        <v>183.15443999436201</v>
      </c>
      <c r="I117" s="37">
        <f t="shared" si="1"/>
        <v>169.1331168215483</v>
      </c>
      <c r="J117" s="37">
        <f t="shared" si="2"/>
        <v>62.332458677432548</v>
      </c>
      <c r="K117" s="37">
        <f t="shared" si="3"/>
        <v>59.205926378070515</v>
      </c>
      <c r="L117" s="37">
        <f t="shared" si="4"/>
        <v>120.82198131692945</v>
      </c>
      <c r="M117" s="37">
        <f t="shared" si="5"/>
        <v>109.92719044347778</v>
      </c>
      <c r="N117" s="38">
        <f t="shared" si="6"/>
        <v>532.125</v>
      </c>
      <c r="O117" s="38">
        <f t="shared" si="34"/>
        <v>394.375</v>
      </c>
      <c r="P117" s="16">
        <f t="shared" si="7"/>
        <v>33.168659573728789</v>
      </c>
      <c r="Q117" s="16">
        <f t="shared" si="8"/>
        <v>47.64916888186405</v>
      </c>
      <c r="R117" s="18">
        <f t="shared" si="9"/>
        <v>-12.122674268338924</v>
      </c>
      <c r="S117" s="38">
        <f t="shared" si="10"/>
        <v>175.60124999999999</v>
      </c>
      <c r="T117" s="38">
        <f t="shared" si="11"/>
        <v>394.375</v>
      </c>
      <c r="U117" s="16">
        <f t="shared" si="12"/>
        <v>10.396634679397154</v>
      </c>
      <c r="V117" s="16">
        <f t="shared" si="13"/>
        <v>43.352535731146546</v>
      </c>
      <c r="W117" s="18">
        <f t="shared" si="14"/>
        <v>-8.062375561581554</v>
      </c>
      <c r="X117" s="18">
        <f t="shared" si="15"/>
        <v>14.880785960182015</v>
      </c>
      <c r="Y117" s="18">
        <f t="shared" si="16"/>
        <v>9.8967012069141873</v>
      </c>
      <c r="Z117" s="39">
        <f t="shared" si="35"/>
        <v>0.5</v>
      </c>
      <c r="AA117" s="18">
        <f t="shared" si="17"/>
        <v>-7.4999999999999997E-2</v>
      </c>
      <c r="AB117" s="18">
        <f t="shared" si="18"/>
        <v>9.2063757741019964E-2</v>
      </c>
      <c r="AC117" s="18">
        <f t="shared" si="19"/>
        <v>8.7484060564744865</v>
      </c>
      <c r="AD117" s="18">
        <f t="shared" si="20"/>
        <v>-4.6270161537604382E-2</v>
      </c>
      <c r="AE117" s="18">
        <f t="shared" si="21"/>
        <v>-3.1853178154987294</v>
      </c>
      <c r="AF117" s="18">
        <f t="shared" si="22"/>
        <v>-1.1104838769025051E-2</v>
      </c>
      <c r="AG117" s="18">
        <f t="shared" si="36"/>
        <v>-0.76447627571969501</v>
      </c>
      <c r="AH117" s="19">
        <f t="shared" si="37"/>
        <v>6.1851628429856937</v>
      </c>
      <c r="AI117" s="19">
        <f t="shared" si="23"/>
        <v>8.6968234939189824</v>
      </c>
      <c r="AJ117" s="40">
        <f t="shared" si="24"/>
        <v>-3.7115383639284945</v>
      </c>
      <c r="AK117" s="40">
        <f t="shared" si="25"/>
        <v>-1.1998777129952058</v>
      </c>
      <c r="AL117" s="40">
        <f t="shared" si="26"/>
        <v>11.695468144683286</v>
      </c>
      <c r="AM117" s="40">
        <f t="shared" si="27"/>
        <v>17.88063098766898</v>
      </c>
      <c r="AN117" s="40">
        <f t="shared" si="38"/>
        <v>9.1838074937499972</v>
      </c>
      <c r="AO117" s="40">
        <f t="shared" si="28"/>
        <v>7.9839297807547913</v>
      </c>
      <c r="AP117" s="17">
        <f t="shared" si="29"/>
        <v>0.18412751548203993</v>
      </c>
    </row>
    <row r="118" spans="1:152" x14ac:dyDescent="0.2">
      <c r="D118" s="36"/>
      <c r="E118" s="36"/>
      <c r="F118" s="36"/>
      <c r="G118" s="36"/>
      <c r="H118" s="43"/>
      <c r="I118" s="43"/>
      <c r="J118" s="43"/>
      <c r="K118" s="43"/>
      <c r="L118" s="43"/>
      <c r="M118" s="44"/>
      <c r="N118" s="16"/>
      <c r="O118" s="16"/>
      <c r="P118" s="16"/>
      <c r="Q118" s="16"/>
      <c r="R118" s="18"/>
      <c r="S118" s="16"/>
      <c r="T118" s="16"/>
      <c r="U118" s="16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9"/>
      <c r="AI118" s="19"/>
      <c r="AP118" s="17"/>
    </row>
    <row r="119" spans="1:152" ht="26.25" x14ac:dyDescent="0.4">
      <c r="A119" s="45"/>
      <c r="B119" s="70" t="s">
        <v>102</v>
      </c>
      <c r="C119" s="45"/>
      <c r="D119" s="46"/>
      <c r="E119" s="46"/>
      <c r="F119" s="46"/>
      <c r="G119" s="46"/>
      <c r="H119" s="45"/>
      <c r="I119" s="45"/>
      <c r="J119" s="45"/>
      <c r="K119" s="45"/>
      <c r="L119" s="45"/>
      <c r="M119" s="47"/>
      <c r="N119" s="45"/>
      <c r="O119" s="45"/>
      <c r="P119" s="45"/>
      <c r="Q119" s="45"/>
      <c r="S119" s="45"/>
      <c r="T119" s="45"/>
      <c r="U119" s="45"/>
      <c r="V119" s="45"/>
      <c r="Z119" s="45"/>
      <c r="AC119" s="45"/>
      <c r="AE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8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</row>
    <row r="120" spans="1:152" s="45" customFormat="1" x14ac:dyDescent="0.2">
      <c r="A120" s="49"/>
      <c r="B120" s="13"/>
      <c r="C120" s="2"/>
      <c r="D120" s="50"/>
      <c r="E120" s="36"/>
      <c r="F120" s="36"/>
      <c r="G120" s="36"/>
      <c r="H120" s="13"/>
      <c r="I120" s="2"/>
      <c r="J120" s="13"/>
      <c r="K120" s="2"/>
      <c r="L120" s="13"/>
      <c r="M120" s="2"/>
      <c r="N120" s="13"/>
      <c r="O120" s="13"/>
      <c r="P120" s="2"/>
      <c r="Q120" s="13"/>
      <c r="R120" s="13"/>
      <c r="S120" s="2"/>
      <c r="T120" s="2"/>
      <c r="U120" s="13"/>
      <c r="V120" s="2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2"/>
      <c r="AJ120" s="13"/>
      <c r="AK120" s="2"/>
      <c r="AL120" s="2"/>
      <c r="AM120" s="2"/>
      <c r="AN120" s="2"/>
      <c r="AO120" s="2"/>
      <c r="AP120" s="17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</row>
    <row r="121" spans="1:152" s="49" customFormat="1" x14ac:dyDescent="0.2">
      <c r="B121" s="51">
        <v>1</v>
      </c>
      <c r="C121" s="49">
        <v>2</v>
      </c>
      <c r="D121" s="51">
        <v>3</v>
      </c>
      <c r="E121" s="49">
        <v>4</v>
      </c>
      <c r="F121" s="51">
        <v>5</v>
      </c>
      <c r="G121" s="49">
        <v>6</v>
      </c>
      <c r="H121" s="51">
        <v>7</v>
      </c>
      <c r="I121" s="49">
        <v>8</v>
      </c>
      <c r="J121" s="51">
        <v>9</v>
      </c>
      <c r="K121" s="49">
        <v>10</v>
      </c>
      <c r="L121" s="51">
        <v>11</v>
      </c>
      <c r="M121" s="49">
        <v>12</v>
      </c>
      <c r="N121" s="51">
        <v>13</v>
      </c>
      <c r="O121" s="49">
        <v>14</v>
      </c>
      <c r="P121" s="51">
        <v>15</v>
      </c>
      <c r="Q121" s="49">
        <v>16</v>
      </c>
      <c r="R121" s="51">
        <v>17</v>
      </c>
      <c r="S121" s="51">
        <v>18</v>
      </c>
      <c r="T121" s="49">
        <v>19</v>
      </c>
      <c r="U121" s="51">
        <v>20</v>
      </c>
      <c r="V121" s="49">
        <v>21</v>
      </c>
      <c r="W121" s="51">
        <v>22</v>
      </c>
      <c r="X121" s="51">
        <v>23</v>
      </c>
      <c r="Y121" s="51">
        <v>24</v>
      </c>
      <c r="Z121" s="51">
        <v>25</v>
      </c>
      <c r="AA121" s="51">
        <v>26</v>
      </c>
      <c r="AB121" s="51">
        <v>27</v>
      </c>
      <c r="AC121" s="51">
        <v>28</v>
      </c>
      <c r="AD121" s="51">
        <v>29</v>
      </c>
      <c r="AE121" s="51">
        <v>30</v>
      </c>
      <c r="AF121" s="51">
        <v>31</v>
      </c>
      <c r="AG121" s="49">
        <v>32</v>
      </c>
      <c r="AH121" s="49">
        <v>33</v>
      </c>
      <c r="AI121" s="49">
        <v>34</v>
      </c>
      <c r="AJ121" s="49">
        <v>35</v>
      </c>
      <c r="AK121" s="49">
        <v>36</v>
      </c>
      <c r="AL121" s="49">
        <v>37</v>
      </c>
      <c r="AM121" s="49">
        <v>38</v>
      </c>
      <c r="AN121" s="49">
        <v>39</v>
      </c>
      <c r="AO121" s="49">
        <v>40</v>
      </c>
    </row>
    <row r="122" spans="1:152" x14ac:dyDescent="0.2">
      <c r="D122" s="52"/>
      <c r="E122" s="53"/>
      <c r="F122" s="53" t="s">
        <v>65</v>
      </c>
      <c r="G122" s="53" t="s">
        <v>66</v>
      </c>
      <c r="H122" s="32" t="s">
        <v>64</v>
      </c>
      <c r="I122" s="33" t="s">
        <v>64</v>
      </c>
      <c r="J122" s="32" t="s">
        <v>64</v>
      </c>
      <c r="K122" s="33" t="s">
        <v>64</v>
      </c>
      <c r="L122" s="32" t="s">
        <v>64</v>
      </c>
      <c r="M122" s="33" t="s">
        <v>64</v>
      </c>
      <c r="N122" s="32"/>
      <c r="O122" s="32"/>
      <c r="P122" s="32"/>
      <c r="Q122" s="32"/>
      <c r="S122" s="33"/>
      <c r="T122" s="33"/>
      <c r="U122" s="33"/>
      <c r="V122" s="33"/>
      <c r="Z122" s="33"/>
      <c r="AC122" s="33"/>
      <c r="AE122" s="32" t="s">
        <v>74</v>
      </c>
      <c r="AG122" s="33"/>
      <c r="AH122" s="34"/>
      <c r="AI122" s="34"/>
      <c r="AJ122" s="34"/>
      <c r="AK122" s="34"/>
      <c r="AL122" s="32" t="s">
        <v>202</v>
      </c>
      <c r="AM122" s="33" t="s">
        <v>202</v>
      </c>
      <c r="AN122" s="33" t="s">
        <v>202</v>
      </c>
      <c r="AO122" s="33" t="s">
        <v>205</v>
      </c>
    </row>
    <row r="123" spans="1:152" x14ac:dyDescent="0.2">
      <c r="D123" s="52" t="s">
        <v>1</v>
      </c>
      <c r="E123" s="53" t="s">
        <v>3</v>
      </c>
      <c r="F123" s="53" t="s">
        <v>81</v>
      </c>
      <c r="G123" s="53" t="s">
        <v>81</v>
      </c>
      <c r="H123" s="32" t="s">
        <v>67</v>
      </c>
      <c r="I123" s="33" t="s">
        <v>67</v>
      </c>
      <c r="J123" s="32" t="s">
        <v>68</v>
      </c>
      <c r="K123" s="33" t="s">
        <v>68</v>
      </c>
      <c r="L123" s="32" t="s">
        <v>69</v>
      </c>
      <c r="M123" s="33" t="s">
        <v>69</v>
      </c>
      <c r="N123" s="32" t="s">
        <v>70</v>
      </c>
      <c r="O123" s="32" t="s">
        <v>70</v>
      </c>
      <c r="P123" s="32" t="s">
        <v>1</v>
      </c>
      <c r="Q123" s="32" t="s">
        <v>1</v>
      </c>
      <c r="R123" s="13" t="s">
        <v>192</v>
      </c>
      <c r="S123" s="33" t="s">
        <v>71</v>
      </c>
      <c r="T123" s="33" t="s">
        <v>71</v>
      </c>
      <c r="U123" s="33" t="s">
        <v>3</v>
      </c>
      <c r="V123" s="33" t="s">
        <v>3</v>
      </c>
      <c r="W123" s="13" t="s">
        <v>192</v>
      </c>
      <c r="X123" s="13" t="s">
        <v>72</v>
      </c>
      <c r="Y123" s="13" t="s">
        <v>73</v>
      </c>
      <c r="Z123" s="33" t="s">
        <v>73</v>
      </c>
      <c r="AB123" s="13" t="s">
        <v>73</v>
      </c>
      <c r="AC123" s="33" t="s">
        <v>73</v>
      </c>
      <c r="AD123" s="13" t="s">
        <v>74</v>
      </c>
      <c r="AE123" s="32" t="s">
        <v>85</v>
      </c>
      <c r="AF123" s="13" t="s">
        <v>75</v>
      </c>
      <c r="AG123" s="33" t="s">
        <v>75</v>
      </c>
      <c r="AH123" s="34" t="s">
        <v>76</v>
      </c>
      <c r="AI123" s="34" t="s">
        <v>76</v>
      </c>
      <c r="AJ123" s="34" t="s">
        <v>76</v>
      </c>
      <c r="AK123" s="34" t="s">
        <v>76</v>
      </c>
      <c r="AL123" s="32" t="s">
        <v>197</v>
      </c>
      <c r="AM123" s="33" t="s">
        <v>199</v>
      </c>
      <c r="AN123" s="33" t="s">
        <v>203</v>
      </c>
      <c r="AO123" s="33" t="s">
        <v>200</v>
      </c>
      <c r="AP123" s="13" t="s">
        <v>77</v>
      </c>
    </row>
    <row r="124" spans="1:152" x14ac:dyDescent="0.2">
      <c r="C124" s="2" t="s">
        <v>78</v>
      </c>
      <c r="D124" s="52" t="s">
        <v>79</v>
      </c>
      <c r="E124" s="53" t="s">
        <v>80</v>
      </c>
      <c r="F124" s="53" t="s">
        <v>1</v>
      </c>
      <c r="G124" s="53" t="s">
        <v>3</v>
      </c>
      <c r="H124" s="32" t="s">
        <v>1</v>
      </c>
      <c r="I124" s="33" t="s">
        <v>3</v>
      </c>
      <c r="J124" s="32" t="s">
        <v>1</v>
      </c>
      <c r="K124" s="33" t="s">
        <v>3</v>
      </c>
      <c r="L124" s="32" t="s">
        <v>1</v>
      </c>
      <c r="M124" s="33" t="s">
        <v>3</v>
      </c>
      <c r="N124" s="32" t="s">
        <v>55</v>
      </c>
      <c r="O124" s="32" t="s">
        <v>55</v>
      </c>
      <c r="P124" s="32" t="s">
        <v>82</v>
      </c>
      <c r="Q124" s="32" t="s">
        <v>82</v>
      </c>
      <c r="R124" s="13" t="s">
        <v>193</v>
      </c>
      <c r="S124" s="33" t="s">
        <v>55</v>
      </c>
      <c r="T124" s="33" t="s">
        <v>55</v>
      </c>
      <c r="U124" s="33" t="s">
        <v>82</v>
      </c>
      <c r="V124" s="33" t="s">
        <v>82</v>
      </c>
      <c r="W124" s="13" t="s">
        <v>195</v>
      </c>
      <c r="X124" s="13" t="s">
        <v>83</v>
      </c>
      <c r="Y124" s="13" t="s">
        <v>82</v>
      </c>
      <c r="Z124" s="33" t="s">
        <v>84</v>
      </c>
      <c r="AB124" s="13" t="s">
        <v>84</v>
      </c>
      <c r="AC124" s="33" t="s">
        <v>84</v>
      </c>
      <c r="AD124" s="13" t="s">
        <v>85</v>
      </c>
      <c r="AE124" s="32" t="s">
        <v>94</v>
      </c>
      <c r="AF124" s="13" t="s">
        <v>85</v>
      </c>
      <c r="AG124" s="33" t="s">
        <v>85</v>
      </c>
      <c r="AH124" s="34" t="s">
        <v>86</v>
      </c>
      <c r="AI124" s="34" t="s">
        <v>87</v>
      </c>
      <c r="AJ124" s="34" t="s">
        <v>88</v>
      </c>
      <c r="AK124" s="34" t="s">
        <v>89</v>
      </c>
      <c r="AL124" s="32" t="s">
        <v>198</v>
      </c>
      <c r="AM124" s="33" t="s">
        <v>200</v>
      </c>
      <c r="AN124" s="33" t="s">
        <v>204</v>
      </c>
      <c r="AO124" s="33" t="s">
        <v>201</v>
      </c>
      <c r="AP124" s="13" t="s">
        <v>90</v>
      </c>
    </row>
    <row r="125" spans="1:152" x14ac:dyDescent="0.2">
      <c r="B125" s="2" t="s">
        <v>78</v>
      </c>
      <c r="D125" s="36"/>
      <c r="E125" s="36"/>
      <c r="F125" s="36"/>
      <c r="G125" s="36"/>
      <c r="H125" s="13" t="s">
        <v>102</v>
      </c>
      <c r="I125" s="13" t="s">
        <v>102</v>
      </c>
      <c r="J125" s="13" t="s">
        <v>102</v>
      </c>
      <c r="K125" s="13" t="s">
        <v>102</v>
      </c>
      <c r="L125" s="13" t="s">
        <v>102</v>
      </c>
      <c r="M125" s="13" t="s">
        <v>102</v>
      </c>
      <c r="N125" s="35"/>
      <c r="O125" s="32" t="s">
        <v>92</v>
      </c>
      <c r="P125" s="16" t="s">
        <v>68</v>
      </c>
      <c r="Q125" s="16" t="s">
        <v>69</v>
      </c>
      <c r="R125" s="13" t="s">
        <v>194</v>
      </c>
      <c r="S125" s="16" t="s">
        <v>91</v>
      </c>
      <c r="T125" s="16" t="s">
        <v>92</v>
      </c>
      <c r="U125" s="16" t="s">
        <v>68</v>
      </c>
      <c r="V125" s="16" t="s">
        <v>69</v>
      </c>
      <c r="W125" s="13" t="s">
        <v>194</v>
      </c>
      <c r="X125" s="13" t="s">
        <v>93</v>
      </c>
      <c r="Y125" s="13" t="s">
        <v>93</v>
      </c>
      <c r="Z125" s="2"/>
      <c r="AB125" s="13" t="s">
        <v>93</v>
      </c>
      <c r="AC125" s="13" t="s">
        <v>94</v>
      </c>
      <c r="AD125" s="13" t="s">
        <v>93</v>
      </c>
      <c r="AE125" s="32" t="s">
        <v>100</v>
      </c>
      <c r="AF125" s="13" t="s">
        <v>93</v>
      </c>
      <c r="AG125" s="33" t="s">
        <v>94</v>
      </c>
      <c r="AH125" s="13" t="s">
        <v>103</v>
      </c>
      <c r="AI125" s="13" t="s">
        <v>95</v>
      </c>
      <c r="AJ125" s="2" t="s">
        <v>103</v>
      </c>
      <c r="AK125" s="2" t="s">
        <v>95</v>
      </c>
      <c r="AL125" s="32"/>
      <c r="AM125" s="33" t="s">
        <v>201</v>
      </c>
      <c r="AN125" s="33"/>
      <c r="AO125" s="33"/>
      <c r="AP125" s="13" t="s">
        <v>96</v>
      </c>
    </row>
    <row r="126" spans="1:152" x14ac:dyDescent="0.2">
      <c r="D126" s="36"/>
      <c r="E126" s="36"/>
      <c r="F126" s="36"/>
      <c r="G126" s="36"/>
      <c r="H126" s="37"/>
      <c r="I126" s="37"/>
      <c r="J126" s="37"/>
      <c r="K126" s="37"/>
      <c r="L126" s="37"/>
      <c r="M126" s="37"/>
      <c r="N126" s="35"/>
      <c r="O126" s="35"/>
      <c r="P126" s="16"/>
      <c r="Q126" s="16"/>
      <c r="R126" s="18"/>
      <c r="S126" s="35"/>
      <c r="T126" s="35"/>
      <c r="U126" s="16"/>
      <c r="V126" s="16"/>
      <c r="W126" s="18"/>
      <c r="X126" s="18"/>
      <c r="Y126" s="18"/>
      <c r="Z126" s="16"/>
      <c r="AA126" s="18"/>
      <c r="AB126" s="18"/>
      <c r="AC126" s="18"/>
      <c r="AG126" s="33" t="s">
        <v>101</v>
      </c>
      <c r="AH126" s="19"/>
      <c r="AI126" s="19"/>
      <c r="AJ126" s="40"/>
      <c r="AK126" s="40"/>
      <c r="AL126" s="2" t="s">
        <v>206</v>
      </c>
      <c r="AM126" s="2" t="s">
        <v>207</v>
      </c>
      <c r="AN126" s="2" t="s">
        <v>206</v>
      </c>
    </row>
    <row r="127" spans="1:152" x14ac:dyDescent="0.2">
      <c r="B127" s="2">
        <v>1</v>
      </c>
      <c r="C127" s="2">
        <v>2009</v>
      </c>
      <c r="D127" s="36">
        <f>$C$9</f>
        <v>14</v>
      </c>
      <c r="E127" s="36">
        <f>$C$9</f>
        <v>14</v>
      </c>
      <c r="F127" s="36">
        <f>($C$10/16)</f>
        <v>2</v>
      </c>
      <c r="G127" s="36">
        <f>($C$10/16)</f>
        <v>2</v>
      </c>
      <c r="H127" s="37">
        <f t="shared" ref="H127:H166" si="40">((17.53508*(F127))+(0.59242*(F127^2))-22.50365)+(((3.02988-(0.02302*(F127^2))-(4.34391*F127))*$D127))+((((0.51593*F127)-(0.02035*(F127^2))-(0.01969))*($D127^2)))</f>
        <v>116.86682999999996</v>
      </c>
      <c r="I127" s="37">
        <f t="shared" ref="I127:I166" si="41">((17.53508*(G127))+(0.59242*(G127^2))-22.50365)+(((3.02988-(0.02302*(G127^2))-(4.34391*G127))*$E127))+((((0.51593*G127)-(0.02035*(G127^2))-(0.01969))*($E127^2)))</f>
        <v>116.86682999999996</v>
      </c>
      <c r="J127" s="37">
        <f t="shared" ref="J127:J166" si="42">((17.53508*($H$16))+(0.59242*($H$16^2))-22.50365)+(((3.02988-(0.02302*($H$16^2))-(4.34391*$H$16))*$D127))+((((0.51593*$H$16)-(0.02035*($H$16^2))-(0.01969))*($D127^2)))</f>
        <v>44.047124999999994</v>
      </c>
      <c r="K127" s="37">
        <f t="shared" ref="K127:K166" si="43">((17.53508*($H$16))+(0.59242*($H$16^2))-22.50365)+(((3.02988-(0.02302*($H$16^2))-(4.34391*$H$16))*$E127))+((((0.51593*$H$16)-(0.02035*($H$16^2))-(0.01969))*($E127^2)))</f>
        <v>44.047124999999994</v>
      </c>
      <c r="L127" s="37">
        <f t="shared" ref="L127:L166" si="44">H127-J127</f>
        <v>72.819704999999971</v>
      </c>
      <c r="M127" s="37">
        <f t="shared" ref="M127:M166" si="45">I127-K127</f>
        <v>72.819704999999971</v>
      </c>
      <c r="N127" s="38">
        <f t="shared" ref="N127:N166" si="46">IF($C$18="red",((VLOOKUP(($D127-($C$21*2)),$F$38:$K$42,4))+(($C127-$C$127)*$H$17)),((VLOOKUP(($D127-($C$21*2)),$F$38:$K$42,3)))+(($C127-$C$127)*$H$17))</f>
        <v>175</v>
      </c>
      <c r="O127" s="38">
        <f t="shared" ref="O127:O166" si="47">IF($C$18="red",((VLOOKUP((($D127-(($C$22*2)+2))),$F$38:$K$42,4))+(($C127-$C$127)*$H$19)),((VLOOKUP(($D127-(($C$22*2)+2)),$F$38:$K$42,3)))+(($C127-$C$127)*$H$19))</f>
        <v>125</v>
      </c>
      <c r="P127" s="16">
        <f t="shared" ref="P127:P166" si="48">J127*(N127/1000)</f>
        <v>7.7082468749999986</v>
      </c>
      <c r="Q127" s="16">
        <f t="shared" ref="Q127:Q166" si="49">L127*(O127/1000)</f>
        <v>9.1024631249999963</v>
      </c>
      <c r="R127" s="18">
        <f t="shared" ref="R127:R166" si="50">-((P127+Q127)*$C$45)</f>
        <v>-2.521606499999999</v>
      </c>
      <c r="S127" s="38">
        <f t="shared" ref="S127:S166" si="51">IF($C$18="red",((VLOOKUP((E127-($C$21*2)),$F$38:$K$42,6))+((B127-$B$127)*$H$18)),((VLOOKUP((E127-($C$21*2)),$F$38:$K$42,5)))+((B127-$B$127)*$H$18))</f>
        <v>57.75</v>
      </c>
      <c r="T127" s="38">
        <f t="shared" ref="T127:T166" si="52">IF($C$18="red",((VLOOKUP(($E127-(($C$22*2)+2)),$F$38:$K$42,4))+(($B127-$B$127)*$H$19)),((VLOOKUP(($E127-(($C$22*2)+2)),$F$38:$K$42,3)))+(($B127-$B$127)*$H$19))</f>
        <v>125</v>
      </c>
      <c r="U127" s="16">
        <f t="shared" ref="U127:U166" si="53">K127*(S127/1000)</f>
        <v>2.5437214687499998</v>
      </c>
      <c r="V127" s="16">
        <f t="shared" ref="V127:V166" si="54">M127*(T127/1000)</f>
        <v>9.1024631249999963</v>
      </c>
      <c r="W127" s="18">
        <f t="shared" ref="W127:W166" si="55">-((U127+V127)*$C$45)</f>
        <v>-1.7469276890624994</v>
      </c>
      <c r="X127" s="18">
        <f t="shared" ref="X127:X166" si="56">(P127+Q127+R127)/((1+$C$44)^(C127-$C$127))</f>
        <v>14.289103499999994</v>
      </c>
      <c r="Y127" s="18">
        <f t="shared" ref="Y127:Y166" si="57">(U127+V127)/((1+$C$44)^(C127-$C$127))</f>
        <v>11.646184593749997</v>
      </c>
      <c r="Z127" s="16">
        <f>$C$31</f>
        <v>0.5</v>
      </c>
      <c r="AA127" s="18">
        <f t="shared" ref="AA127:AA166" si="58">-(Z127*$C$46)</f>
        <v>-7.4999999999999997E-2</v>
      </c>
      <c r="AB127" s="18">
        <f t="shared" ref="AB127:AB166" si="59">(Z127+AA127)/((1+$C$44)^(C127-$C$127))</f>
        <v>0.42499999999999999</v>
      </c>
      <c r="AC127" s="18">
        <f>AB126+AB127</f>
        <v>0.42499999999999999</v>
      </c>
      <c r="AD127" s="18">
        <f t="shared" ref="AD127:AD166" si="60">-(($H$30+((C127-$C$127)*$H$26)) / ((1+$C$44)^(C127-$C$127)))</f>
        <v>-0.12</v>
      </c>
      <c r="AE127" s="18">
        <f>AD126+AD127</f>
        <v>-0.12</v>
      </c>
      <c r="AF127" s="18">
        <f t="shared" ref="AF127:AF166" si="61">-(($H$31+((C127-$C$127)*$H$27)) / ((1+$C$44)^(C127-$C$127)))</f>
        <v>-2.8799999999999996E-2</v>
      </c>
      <c r="AG127" s="18">
        <f>AF126+AF127</f>
        <v>-2.8799999999999996E-2</v>
      </c>
      <c r="AH127" s="19">
        <f t="shared" ref="AH127:AH166" si="62">AM127-AL127</f>
        <v>-2.126718906249998</v>
      </c>
      <c r="AI127" s="19">
        <f t="shared" ref="AI127:AI166" si="63">AM127-AN127</f>
        <v>-2.126718906249998</v>
      </c>
      <c r="AJ127" s="40">
        <f t="shared" ref="AJ127:AJ166" si="64">AO127-AL127</f>
        <v>-13.772903499999995</v>
      </c>
      <c r="AK127" s="40">
        <f t="shared" ref="AK127:AK166" si="65">AO127-AN127</f>
        <v>-13.772903499999995</v>
      </c>
      <c r="AL127" s="40">
        <f t="shared" ref="AL127:AL166" si="66">X127+AE127</f>
        <v>14.169103499999995</v>
      </c>
      <c r="AM127" s="40">
        <f t="shared" ref="AM127:AM166" si="67">Y127+AC127+AG127</f>
        <v>12.042384593749997</v>
      </c>
      <c r="AN127" s="40">
        <f>$X$127+$AE$127</f>
        <v>14.169103499999995</v>
      </c>
      <c r="AO127" s="40">
        <f t="shared" ref="AO127:AO166" si="68">AC127+AG127</f>
        <v>0.3962</v>
      </c>
      <c r="AP127" s="17">
        <f t="shared" ref="AP127:AP166" si="69">X127/(P127+Q127)</f>
        <v>0.85</v>
      </c>
    </row>
    <row r="128" spans="1:152" x14ac:dyDescent="0.2">
      <c r="B128" s="2">
        <v>2</v>
      </c>
      <c r="C128" s="2">
        <f t="shared" ref="C128:C166" si="70">C127+1</f>
        <v>2010</v>
      </c>
      <c r="D128" s="36">
        <f t="shared" ref="D128:D166" si="71">D127+($C$14*(1-$C$17)^($C128-$C$127))</f>
        <v>14.099</v>
      </c>
      <c r="E128" s="36">
        <f t="shared" ref="E128:E166" si="72">E127+($H$13*(1-$C$17)^($C128-$C$127))</f>
        <v>14.0891</v>
      </c>
      <c r="F128" s="36">
        <f t="shared" ref="F128:F166" si="73">F127+(($C$11/16)*(1-$C$13)^($C128-$C$127))</f>
        <v>2.0309374999999998</v>
      </c>
      <c r="G128" s="36">
        <f t="shared" ref="G128:G166" si="74">G127+(($H$14/16)*(1-$C$13)^($C128-$C$127))</f>
        <v>2.0278437500000002</v>
      </c>
      <c r="H128" s="37">
        <f t="shared" si="40"/>
        <v>120.23633605998015</v>
      </c>
      <c r="I128" s="37">
        <f t="shared" si="41"/>
        <v>119.8967408338398</v>
      </c>
      <c r="J128" s="37">
        <f t="shared" si="42"/>
        <v>44.780171050687493</v>
      </c>
      <c r="K128" s="37">
        <f t="shared" si="43"/>
        <v>44.70666075325687</v>
      </c>
      <c r="L128" s="37">
        <f t="shared" si="44"/>
        <v>75.456165009292647</v>
      </c>
      <c r="M128" s="37">
        <f t="shared" si="45"/>
        <v>75.190080080582931</v>
      </c>
      <c r="N128" s="38">
        <f t="shared" si="46"/>
        <v>182.875</v>
      </c>
      <c r="O128" s="38">
        <f t="shared" si="47"/>
        <v>130.625</v>
      </c>
      <c r="P128" s="16">
        <f t="shared" si="48"/>
        <v>8.1891737808944765</v>
      </c>
      <c r="Q128" s="16">
        <f t="shared" si="49"/>
        <v>9.8564615543388516</v>
      </c>
      <c r="R128" s="18">
        <f t="shared" si="50"/>
        <v>-2.706845300284999</v>
      </c>
      <c r="S128" s="38">
        <f t="shared" si="51"/>
        <v>60.348750000000003</v>
      </c>
      <c r="T128" s="38">
        <f t="shared" si="52"/>
        <v>130.625</v>
      </c>
      <c r="U128" s="16">
        <f t="shared" si="53"/>
        <v>2.6979910931331106</v>
      </c>
      <c r="V128" s="16">
        <f t="shared" si="54"/>
        <v>9.8217042105261445</v>
      </c>
      <c r="W128" s="18">
        <f t="shared" si="55"/>
        <v>-1.8779542955488882</v>
      </c>
      <c r="X128" s="18">
        <f t="shared" si="56"/>
        <v>14.7488365720657</v>
      </c>
      <c r="Y128" s="18">
        <f t="shared" si="57"/>
        <v>12.038168561210821</v>
      </c>
      <c r="Z128" s="16">
        <f t="shared" ref="Z128:Z166" si="75">IF(E128&lt;$C$34,($C$31+((C128-$C$78)*$H$24)),(2*$C$31)+((C128-$C$78)*(2*$H$24)))</f>
        <v>0.5</v>
      </c>
      <c r="AA128" s="18">
        <f t="shared" si="58"/>
        <v>-7.4999999999999997E-2</v>
      </c>
      <c r="AB128" s="18">
        <f t="shared" si="59"/>
        <v>0.40865384615384615</v>
      </c>
      <c r="AC128" s="18">
        <f t="shared" ref="AC128:AC166" si="76">AC127+AB128</f>
        <v>0.83365384615384608</v>
      </c>
      <c r="AD128" s="18">
        <f t="shared" si="60"/>
        <v>-0.11769230769230768</v>
      </c>
      <c r="AE128" s="18">
        <f t="shared" ref="AE128:AE166" si="77">AE127+AD128</f>
        <v>-0.23769230769230767</v>
      </c>
      <c r="AF128" s="18">
        <f t="shared" si="61"/>
        <v>-2.8246153846153841E-2</v>
      </c>
      <c r="AG128" s="18">
        <f>AF127+AF128</f>
        <v>-5.7046153846153837E-2</v>
      </c>
      <c r="AH128" s="19">
        <f t="shared" si="62"/>
        <v>-1.6963680108548793</v>
      </c>
      <c r="AI128" s="19">
        <f t="shared" si="63"/>
        <v>-1.354327246481482</v>
      </c>
      <c r="AJ128" s="40">
        <f t="shared" si="64"/>
        <v>-13.7345365720657</v>
      </c>
      <c r="AK128" s="40">
        <f t="shared" si="65"/>
        <v>-13.392495807692303</v>
      </c>
      <c r="AL128" s="40">
        <f t="shared" si="66"/>
        <v>14.511144264373392</v>
      </c>
      <c r="AM128" s="40">
        <f t="shared" si="67"/>
        <v>12.814776253518513</v>
      </c>
      <c r="AN128" s="40">
        <f t="shared" ref="AN128:AN166" si="78">$X$127+$AE$127</f>
        <v>14.169103499999995</v>
      </c>
      <c r="AO128" s="40">
        <f t="shared" si="68"/>
        <v>0.77660769230769222</v>
      </c>
      <c r="AP128" s="17">
        <f t="shared" si="69"/>
        <v>0.81730769230769229</v>
      </c>
    </row>
    <row r="129" spans="2:42" x14ac:dyDescent="0.2">
      <c r="B129" s="2">
        <v>3</v>
      </c>
      <c r="C129" s="2">
        <f t="shared" si="70"/>
        <v>2011</v>
      </c>
      <c r="D129" s="36">
        <f t="shared" si="71"/>
        <v>14.197010000000001</v>
      </c>
      <c r="E129" s="36">
        <f t="shared" si="72"/>
        <v>14.177309000000001</v>
      </c>
      <c r="F129" s="36">
        <f t="shared" si="73"/>
        <v>2.0615656249999996</v>
      </c>
      <c r="G129" s="36">
        <f t="shared" si="74"/>
        <v>2.0554090625000003</v>
      </c>
      <c r="H129" s="37">
        <f t="shared" si="40"/>
        <v>123.63019851022675</v>
      </c>
      <c r="I129" s="37">
        <f t="shared" si="41"/>
        <v>122.94333857259059</v>
      </c>
      <c r="J129" s="37">
        <f t="shared" si="42"/>
        <v>45.510389246669568</v>
      </c>
      <c r="K129" s="37">
        <f t="shared" si="43"/>
        <v>45.363248259680347</v>
      </c>
      <c r="L129" s="37">
        <f t="shared" si="44"/>
        <v>78.119809263557187</v>
      </c>
      <c r="M129" s="37">
        <f t="shared" si="45"/>
        <v>77.580090312910244</v>
      </c>
      <c r="N129" s="38">
        <f t="shared" si="46"/>
        <v>190.75</v>
      </c>
      <c r="O129" s="38">
        <f t="shared" si="47"/>
        <v>136.25</v>
      </c>
      <c r="P129" s="16">
        <f t="shared" si="48"/>
        <v>8.68110674880222</v>
      </c>
      <c r="Q129" s="16">
        <f t="shared" si="49"/>
        <v>10.643824012159667</v>
      </c>
      <c r="R129" s="18">
        <f t="shared" si="50"/>
        <v>-2.8987396141442829</v>
      </c>
      <c r="S129" s="38">
        <f t="shared" si="51"/>
        <v>62.947499999999998</v>
      </c>
      <c r="T129" s="38">
        <f t="shared" si="52"/>
        <v>136.25</v>
      </c>
      <c r="U129" s="16">
        <f t="shared" si="53"/>
        <v>2.8555030698262289</v>
      </c>
      <c r="V129" s="16">
        <f t="shared" si="54"/>
        <v>10.570287305134022</v>
      </c>
      <c r="W129" s="18">
        <f t="shared" si="55"/>
        <v>-2.0138685562440375</v>
      </c>
      <c r="X129" s="18">
        <f t="shared" si="56"/>
        <v>15.186937081007398</v>
      </c>
      <c r="Y129" s="18">
        <f t="shared" si="57"/>
        <v>12.412897905843426</v>
      </c>
      <c r="Z129" s="16">
        <f t="shared" si="75"/>
        <v>0.5</v>
      </c>
      <c r="AA129" s="18">
        <f t="shared" si="58"/>
        <v>-7.4999999999999997E-2</v>
      </c>
      <c r="AB129" s="18">
        <f t="shared" si="59"/>
        <v>0.39293639053254431</v>
      </c>
      <c r="AC129" s="18">
        <f t="shared" si="76"/>
        <v>1.2265902366863903</v>
      </c>
      <c r="AD129" s="18">
        <f t="shared" si="60"/>
        <v>-0.11538461538461536</v>
      </c>
      <c r="AE129" s="18">
        <f t="shared" si="77"/>
        <v>-0.35307692307692307</v>
      </c>
      <c r="AF129" s="18">
        <f t="shared" si="61"/>
        <v>-2.7692307692307686E-2</v>
      </c>
      <c r="AG129" s="18">
        <f t="shared" ref="AG129:AG166" si="79">AG128+AF129</f>
        <v>-8.4738461538461526E-2</v>
      </c>
      <c r="AH129" s="19">
        <f t="shared" si="62"/>
        <v>-1.2791104769391204</v>
      </c>
      <c r="AI129" s="19">
        <f t="shared" si="63"/>
        <v>-0.61435381900863995</v>
      </c>
      <c r="AJ129" s="40">
        <f t="shared" si="64"/>
        <v>-13.692008382782547</v>
      </c>
      <c r="AK129" s="40">
        <f t="shared" si="65"/>
        <v>-13.027251724852066</v>
      </c>
      <c r="AL129" s="40">
        <f t="shared" si="66"/>
        <v>14.833860157930475</v>
      </c>
      <c r="AM129" s="40">
        <f t="shared" si="67"/>
        <v>13.554749680991355</v>
      </c>
      <c r="AN129" s="40">
        <f t="shared" si="78"/>
        <v>14.169103499999995</v>
      </c>
      <c r="AO129" s="40">
        <f t="shared" si="68"/>
        <v>1.1418517751479289</v>
      </c>
      <c r="AP129" s="17">
        <f t="shared" si="69"/>
        <v>0.78587278106508862</v>
      </c>
    </row>
    <row r="130" spans="2:42" x14ac:dyDescent="0.2">
      <c r="B130" s="2">
        <v>4</v>
      </c>
      <c r="C130" s="2">
        <f t="shared" si="70"/>
        <v>2012</v>
      </c>
      <c r="D130" s="36">
        <f t="shared" si="71"/>
        <v>14.294039900000001</v>
      </c>
      <c r="E130" s="36">
        <f t="shared" si="72"/>
        <v>14.264635910000001</v>
      </c>
      <c r="F130" s="36">
        <f t="shared" si="73"/>
        <v>2.0918874687499995</v>
      </c>
      <c r="G130" s="36">
        <f t="shared" si="74"/>
        <v>2.0826987218750004</v>
      </c>
      <c r="H130" s="37">
        <f t="shared" si="40"/>
        <v>127.04744551067799</v>
      </c>
      <c r="I130" s="37">
        <f t="shared" si="41"/>
        <v>126.00583304610396</v>
      </c>
      <c r="J130" s="37">
        <f t="shared" si="42"/>
        <v>46.23771826463782</v>
      </c>
      <c r="K130" s="37">
        <f t="shared" si="43"/>
        <v>46.016844424235849</v>
      </c>
      <c r="L130" s="37">
        <f t="shared" si="44"/>
        <v>80.809727246040168</v>
      </c>
      <c r="M130" s="37">
        <f t="shared" si="45"/>
        <v>79.988988621868117</v>
      </c>
      <c r="N130" s="38">
        <f t="shared" si="46"/>
        <v>198.625</v>
      </c>
      <c r="O130" s="38">
        <f t="shared" si="47"/>
        <v>141.875</v>
      </c>
      <c r="P130" s="16">
        <f t="shared" si="48"/>
        <v>9.1839667903136863</v>
      </c>
      <c r="Q130" s="16">
        <f t="shared" si="49"/>
        <v>11.464880053031949</v>
      </c>
      <c r="R130" s="18">
        <f t="shared" si="50"/>
        <v>-3.0973270265018455</v>
      </c>
      <c r="S130" s="38">
        <f t="shared" si="51"/>
        <v>65.546250000000001</v>
      </c>
      <c r="T130" s="38">
        <f t="shared" si="52"/>
        <v>141.875</v>
      </c>
      <c r="U130" s="16">
        <f t="shared" si="53"/>
        <v>3.0162315888420692</v>
      </c>
      <c r="V130" s="16">
        <f t="shared" si="54"/>
        <v>11.348437760727538</v>
      </c>
      <c r="W130" s="18">
        <f t="shared" si="55"/>
        <v>-2.154700402435441</v>
      </c>
      <c r="X130" s="18">
        <f t="shared" si="56"/>
        <v>15.603237206314533</v>
      </c>
      <c r="Y130" s="18">
        <f t="shared" si="57"/>
        <v>12.77013874527908</v>
      </c>
      <c r="Z130" s="16">
        <f t="shared" si="75"/>
        <v>0.5</v>
      </c>
      <c r="AA130" s="18">
        <f t="shared" si="58"/>
        <v>-7.4999999999999997E-2</v>
      </c>
      <c r="AB130" s="18">
        <f t="shared" si="59"/>
        <v>0.37782345243513876</v>
      </c>
      <c r="AC130" s="18">
        <f t="shared" si="76"/>
        <v>1.604413689121529</v>
      </c>
      <c r="AD130" s="18">
        <f t="shared" si="60"/>
        <v>-0.11308033682294037</v>
      </c>
      <c r="AE130" s="18">
        <f t="shared" si="77"/>
        <v>-0.46615725989986345</v>
      </c>
      <c r="AF130" s="18">
        <f t="shared" si="61"/>
        <v>-2.7139280837505685E-2</v>
      </c>
      <c r="AG130" s="18">
        <f t="shared" si="79"/>
        <v>-0.1118777423759672</v>
      </c>
      <c r="AH130" s="19">
        <f t="shared" si="62"/>
        <v>-0.8744052543900267</v>
      </c>
      <c r="AI130" s="19">
        <f t="shared" si="63"/>
        <v>9.3571192024647587E-2</v>
      </c>
      <c r="AJ130" s="40">
        <f t="shared" si="64"/>
        <v>-13.644543999669107</v>
      </c>
      <c r="AK130" s="40">
        <f t="shared" si="65"/>
        <v>-12.676567553254433</v>
      </c>
      <c r="AL130" s="40">
        <f t="shared" si="66"/>
        <v>15.137079946414669</v>
      </c>
      <c r="AM130" s="40">
        <f t="shared" si="67"/>
        <v>14.262674692024643</v>
      </c>
      <c r="AN130" s="40">
        <f t="shared" si="78"/>
        <v>14.169103499999995</v>
      </c>
      <c r="AO130" s="40">
        <f t="shared" si="68"/>
        <v>1.4925359467455619</v>
      </c>
      <c r="AP130" s="17">
        <f t="shared" si="69"/>
        <v>0.75564690487027764</v>
      </c>
    </row>
    <row r="131" spans="2:42" x14ac:dyDescent="0.2">
      <c r="B131" s="2">
        <v>5</v>
      </c>
      <c r="C131" s="2">
        <f t="shared" si="70"/>
        <v>2013</v>
      </c>
      <c r="D131" s="36">
        <f t="shared" si="71"/>
        <v>14.390099501000002</v>
      </c>
      <c r="E131" s="36">
        <f t="shared" si="72"/>
        <v>14.351089550900001</v>
      </c>
      <c r="F131" s="36">
        <f t="shared" si="73"/>
        <v>2.1219060940624996</v>
      </c>
      <c r="G131" s="36">
        <f t="shared" si="74"/>
        <v>2.1097154846562503</v>
      </c>
      <c r="H131" s="37">
        <f t="shared" si="40"/>
        <v>130.48711256577243</v>
      </c>
      <c r="I131" s="37">
        <f t="shared" si="41"/>
        <v>129.0834423848944</v>
      </c>
      <c r="J131" s="37">
        <f t="shared" si="42"/>
        <v>46.962099177593849</v>
      </c>
      <c r="K131" s="37">
        <f t="shared" si="43"/>
        <v>46.667408027131444</v>
      </c>
      <c r="L131" s="37">
        <f t="shared" si="44"/>
        <v>83.525013388178593</v>
      </c>
      <c r="M131" s="37">
        <f t="shared" si="45"/>
        <v>82.416034357762953</v>
      </c>
      <c r="N131" s="38">
        <f t="shared" si="46"/>
        <v>206.5</v>
      </c>
      <c r="O131" s="38">
        <f t="shared" si="47"/>
        <v>147.5</v>
      </c>
      <c r="P131" s="16">
        <f t="shared" si="48"/>
        <v>9.6976734801731297</v>
      </c>
      <c r="Q131" s="16">
        <f t="shared" si="49"/>
        <v>12.319939474756342</v>
      </c>
      <c r="R131" s="18">
        <f t="shared" si="50"/>
        <v>-3.3026419432394207</v>
      </c>
      <c r="S131" s="38">
        <f t="shared" si="51"/>
        <v>68.144999999999996</v>
      </c>
      <c r="T131" s="38">
        <f t="shared" si="52"/>
        <v>147.5</v>
      </c>
      <c r="U131" s="16">
        <f t="shared" si="53"/>
        <v>3.1801505200088722</v>
      </c>
      <c r="V131" s="16">
        <f t="shared" si="54"/>
        <v>12.156365067770034</v>
      </c>
      <c r="W131" s="18">
        <f t="shared" si="55"/>
        <v>-2.3004773381668358</v>
      </c>
      <c r="X131" s="18">
        <f t="shared" si="56"/>
        <v>15.997635655792481</v>
      </c>
      <c r="Y131" s="18">
        <f t="shared" si="57"/>
        <v>13.109717800226127</v>
      </c>
      <c r="Z131" s="16">
        <f t="shared" si="75"/>
        <v>0.5</v>
      </c>
      <c r="AA131" s="18">
        <f t="shared" si="58"/>
        <v>-7.4999999999999997E-2</v>
      </c>
      <c r="AB131" s="18">
        <f t="shared" si="59"/>
        <v>0.36329178118763339</v>
      </c>
      <c r="AC131" s="18">
        <f t="shared" si="76"/>
        <v>1.9677054703091623</v>
      </c>
      <c r="AD131" s="18">
        <f t="shared" si="60"/>
        <v>-0.11078262315745245</v>
      </c>
      <c r="AE131" s="18">
        <f t="shared" si="77"/>
        <v>-0.57693988305731592</v>
      </c>
      <c r="AF131" s="18">
        <f t="shared" si="61"/>
        <v>-2.6587829557788586E-2</v>
      </c>
      <c r="AG131" s="18">
        <f t="shared" si="79"/>
        <v>-0.1384655719337558</v>
      </c>
      <c r="AH131" s="19">
        <f t="shared" si="62"/>
        <v>-0.48173807413363079</v>
      </c>
      <c r="AI131" s="19">
        <f t="shared" si="63"/>
        <v>0.76985419860153925</v>
      </c>
      <c r="AJ131" s="40">
        <f t="shared" si="64"/>
        <v>-13.591455874359758</v>
      </c>
      <c r="AK131" s="40">
        <f t="shared" si="65"/>
        <v>-12.339863601624588</v>
      </c>
      <c r="AL131" s="40">
        <f t="shared" si="66"/>
        <v>15.420695772735165</v>
      </c>
      <c r="AM131" s="40">
        <f t="shared" si="67"/>
        <v>14.938957698601534</v>
      </c>
      <c r="AN131" s="40">
        <f t="shared" si="78"/>
        <v>14.169103499999995</v>
      </c>
      <c r="AO131" s="40">
        <f t="shared" si="68"/>
        <v>1.8292398983754066</v>
      </c>
      <c r="AP131" s="17">
        <f t="shared" si="69"/>
        <v>0.72658356237526678</v>
      </c>
    </row>
    <row r="132" spans="2:42" x14ac:dyDescent="0.2">
      <c r="B132" s="2">
        <v>6</v>
      </c>
      <c r="C132" s="2">
        <f t="shared" si="70"/>
        <v>2014</v>
      </c>
      <c r="D132" s="36">
        <f t="shared" si="71"/>
        <v>14.485198505990002</v>
      </c>
      <c r="E132" s="36">
        <f t="shared" si="72"/>
        <v>14.436678655391001</v>
      </c>
      <c r="F132" s="36">
        <f t="shared" si="73"/>
        <v>2.1516245331218746</v>
      </c>
      <c r="G132" s="36">
        <f t="shared" si="74"/>
        <v>2.1364620798096876</v>
      </c>
      <c r="H132" s="37">
        <f t="shared" si="40"/>
        <v>133.94824316413747</v>
      </c>
      <c r="I132" s="37">
        <f t="shared" si="41"/>
        <v>132.17539339396188</v>
      </c>
      <c r="J132" s="37">
        <f t="shared" si="42"/>
        <v>47.683475395402965</v>
      </c>
      <c r="K132" s="37">
        <f t="shared" si="43"/>
        <v>47.314899676324011</v>
      </c>
      <c r="L132" s="37">
        <f t="shared" si="44"/>
        <v>86.264767768734501</v>
      </c>
      <c r="M132" s="37">
        <f t="shared" si="45"/>
        <v>84.860493717637866</v>
      </c>
      <c r="N132" s="38">
        <f t="shared" si="46"/>
        <v>214.375</v>
      </c>
      <c r="O132" s="38">
        <f t="shared" si="47"/>
        <v>153.125</v>
      </c>
      <c r="P132" s="16">
        <f t="shared" si="48"/>
        <v>10.222145037889511</v>
      </c>
      <c r="Q132" s="16">
        <f t="shared" si="49"/>
        <v>13.209292564587471</v>
      </c>
      <c r="R132" s="18">
        <f t="shared" si="50"/>
        <v>-3.5147156403715472</v>
      </c>
      <c r="S132" s="38">
        <f t="shared" si="51"/>
        <v>70.743750000000006</v>
      </c>
      <c r="T132" s="38">
        <f t="shared" si="52"/>
        <v>153.125</v>
      </c>
      <c r="U132" s="16">
        <f t="shared" si="53"/>
        <v>3.3472334339769469</v>
      </c>
      <c r="V132" s="16">
        <f t="shared" si="54"/>
        <v>12.994263100513299</v>
      </c>
      <c r="W132" s="18">
        <f t="shared" si="55"/>
        <v>-2.4512244801735368</v>
      </c>
      <c r="X132" s="18">
        <f t="shared" si="56"/>
        <v>16.370093658443754</v>
      </c>
      <c r="Y132" s="18">
        <f t="shared" si="57"/>
        <v>13.431518966711538</v>
      </c>
      <c r="Z132" s="16">
        <f t="shared" si="75"/>
        <v>0.5</v>
      </c>
      <c r="AA132" s="18">
        <f t="shared" si="58"/>
        <v>-7.4999999999999997E-2</v>
      </c>
      <c r="AB132" s="18">
        <f t="shared" si="59"/>
        <v>0.34931902037272439</v>
      </c>
      <c r="AC132" s="18">
        <f t="shared" si="76"/>
        <v>2.3170244906818867</v>
      </c>
      <c r="AD132" s="18">
        <f t="shared" si="60"/>
        <v>-0.1084943780922344</v>
      </c>
      <c r="AE132" s="18">
        <f t="shared" si="77"/>
        <v>-0.68543426114955031</v>
      </c>
      <c r="AF132" s="18">
        <f t="shared" si="61"/>
        <v>-2.6038650742136252E-2</v>
      </c>
      <c r="AG132" s="18">
        <f t="shared" si="79"/>
        <v>-0.16450422267589204</v>
      </c>
      <c r="AH132" s="19">
        <f t="shared" si="62"/>
        <v>-0.10062016257667139</v>
      </c>
      <c r="AI132" s="19">
        <f t="shared" si="63"/>
        <v>1.4149357347175364</v>
      </c>
      <c r="AJ132" s="40">
        <f t="shared" si="64"/>
        <v>-13.532139129288208</v>
      </c>
      <c r="AK132" s="40">
        <f t="shared" si="65"/>
        <v>-12.016583231994</v>
      </c>
      <c r="AL132" s="40">
        <f t="shared" si="66"/>
        <v>15.684659397294203</v>
      </c>
      <c r="AM132" s="40">
        <f t="shared" si="67"/>
        <v>15.584039234717531</v>
      </c>
      <c r="AN132" s="40">
        <f t="shared" si="78"/>
        <v>14.169103499999995</v>
      </c>
      <c r="AO132" s="40">
        <f t="shared" si="68"/>
        <v>2.1525202680059947</v>
      </c>
      <c r="AP132" s="17">
        <f t="shared" si="69"/>
        <v>0.69863804074544866</v>
      </c>
    </row>
    <row r="133" spans="2:42" x14ac:dyDescent="0.2">
      <c r="B133" s="2">
        <v>7</v>
      </c>
      <c r="C133" s="2">
        <f t="shared" si="70"/>
        <v>2015</v>
      </c>
      <c r="D133" s="36">
        <f t="shared" si="71"/>
        <v>14.579346520930102</v>
      </c>
      <c r="E133" s="36">
        <f t="shared" si="72"/>
        <v>14.52141186883709</v>
      </c>
      <c r="F133" s="36">
        <f t="shared" si="73"/>
        <v>2.1810457877906559</v>
      </c>
      <c r="G133" s="36">
        <f t="shared" si="74"/>
        <v>2.1629412090115907</v>
      </c>
      <c r="H133" s="37">
        <f t="shared" si="40"/>
        <v>137.42988937141212</v>
      </c>
      <c r="I133" s="37">
        <f t="shared" si="41"/>
        <v>135.28092189571717</v>
      </c>
      <c r="J133" s="37">
        <f t="shared" si="42"/>
        <v>48.401792606648357</v>
      </c>
      <c r="K133" s="37">
        <f t="shared" si="43"/>
        <v>47.959281761072305</v>
      </c>
      <c r="L133" s="37">
        <f t="shared" si="44"/>
        <v>89.02809676476376</v>
      </c>
      <c r="M133" s="37">
        <f t="shared" si="45"/>
        <v>87.321640134644866</v>
      </c>
      <c r="N133" s="38">
        <f t="shared" si="46"/>
        <v>222.25</v>
      </c>
      <c r="O133" s="38">
        <f t="shared" si="47"/>
        <v>158.75</v>
      </c>
      <c r="P133" s="16">
        <f t="shared" si="48"/>
        <v>10.757298406827598</v>
      </c>
      <c r="Q133" s="16">
        <f t="shared" si="49"/>
        <v>14.133210361406247</v>
      </c>
      <c r="R133" s="18">
        <f t="shared" si="50"/>
        <v>-3.7335763152350765</v>
      </c>
      <c r="S133" s="38">
        <f t="shared" si="51"/>
        <v>73.342500000000001</v>
      </c>
      <c r="T133" s="38">
        <f t="shared" si="52"/>
        <v>158.75</v>
      </c>
      <c r="U133" s="16">
        <f t="shared" si="53"/>
        <v>3.5174536225614457</v>
      </c>
      <c r="V133" s="16">
        <f t="shared" si="54"/>
        <v>13.862310371374873</v>
      </c>
      <c r="W133" s="18">
        <f t="shared" si="55"/>
        <v>-2.6069645990904475</v>
      </c>
      <c r="X133" s="18">
        <f t="shared" si="56"/>
        <v>16.72063103749645</v>
      </c>
      <c r="Y133" s="18">
        <f t="shared" si="57"/>
        <v>13.735479938169645</v>
      </c>
      <c r="Z133" s="16">
        <f t="shared" si="75"/>
        <v>0.5</v>
      </c>
      <c r="AA133" s="18">
        <f t="shared" si="58"/>
        <v>-7.4999999999999997E-2</v>
      </c>
      <c r="AB133" s="18">
        <f t="shared" si="59"/>
        <v>0.33588367343531189</v>
      </c>
      <c r="AC133" s="18">
        <f t="shared" si="76"/>
        <v>2.6529081641171985</v>
      </c>
      <c r="AD133" s="18">
        <f t="shared" si="60"/>
        <v>-0.10621827225813157</v>
      </c>
      <c r="AE133" s="18">
        <f t="shared" si="77"/>
        <v>-0.79165253340768182</v>
      </c>
      <c r="AF133" s="18">
        <f t="shared" si="61"/>
        <v>-2.5492385341951574E-2</v>
      </c>
      <c r="AG133" s="18">
        <f t="shared" si="79"/>
        <v>-0.18999660801784363</v>
      </c>
      <c r="AH133" s="19">
        <f t="shared" si="62"/>
        <v>0.26941299018023201</v>
      </c>
      <c r="AI133" s="19">
        <f t="shared" si="63"/>
        <v>2.029287994269005</v>
      </c>
      <c r="AJ133" s="40">
        <f t="shared" si="64"/>
        <v>-13.466066947989413</v>
      </c>
      <c r="AK133" s="40">
        <f t="shared" si="65"/>
        <v>-11.70619194390064</v>
      </c>
      <c r="AL133" s="40">
        <f t="shared" si="66"/>
        <v>15.928978504088768</v>
      </c>
      <c r="AM133" s="40">
        <f t="shared" si="67"/>
        <v>16.198391494269</v>
      </c>
      <c r="AN133" s="40">
        <f t="shared" si="78"/>
        <v>14.169103499999995</v>
      </c>
      <c r="AO133" s="40">
        <f t="shared" si="68"/>
        <v>2.4629115560993551</v>
      </c>
      <c r="AP133" s="17">
        <f t="shared" si="69"/>
        <v>0.67176734687062389</v>
      </c>
    </row>
    <row r="134" spans="2:42" x14ac:dyDescent="0.2">
      <c r="B134" s="2">
        <v>8</v>
      </c>
      <c r="C134" s="2">
        <f t="shared" si="70"/>
        <v>2016</v>
      </c>
      <c r="D134" s="36">
        <f t="shared" si="71"/>
        <v>14.672553055720801</v>
      </c>
      <c r="E134" s="36">
        <f t="shared" si="72"/>
        <v>14.605297750148718</v>
      </c>
      <c r="F134" s="36">
        <f t="shared" si="73"/>
        <v>2.2101728299127492</v>
      </c>
      <c r="G134" s="36">
        <f t="shared" si="74"/>
        <v>2.1891555469214747</v>
      </c>
      <c r="H134" s="37">
        <f t="shared" si="40"/>
        <v>140.93111237851633</v>
      </c>
      <c r="I134" s="37">
        <f t="shared" si="41"/>
        <v>138.39927304356331</v>
      </c>
      <c r="J134" s="37">
        <f t="shared" si="42"/>
        <v>49.116998721758961</v>
      </c>
      <c r="K134" s="37">
        <f t="shared" si="43"/>
        <v>48.600518406515015</v>
      </c>
      <c r="L134" s="37">
        <f t="shared" si="44"/>
        <v>91.814113656757371</v>
      </c>
      <c r="M134" s="37">
        <f t="shared" si="45"/>
        <v>89.79875463704829</v>
      </c>
      <c r="N134" s="38">
        <f t="shared" si="46"/>
        <v>230.125</v>
      </c>
      <c r="O134" s="38">
        <f t="shared" si="47"/>
        <v>164.375</v>
      </c>
      <c r="P134" s="16">
        <f t="shared" si="48"/>
        <v>11.303049330844781</v>
      </c>
      <c r="Q134" s="16">
        <f t="shared" si="49"/>
        <v>15.091944932329492</v>
      </c>
      <c r="R134" s="18">
        <f t="shared" si="50"/>
        <v>-3.9592491394761407</v>
      </c>
      <c r="S134" s="38">
        <f t="shared" si="51"/>
        <v>75.941249999999997</v>
      </c>
      <c r="T134" s="38">
        <f t="shared" si="52"/>
        <v>164.375</v>
      </c>
      <c r="U134" s="16">
        <f t="shared" si="53"/>
        <v>3.6907841184387586</v>
      </c>
      <c r="V134" s="16">
        <f t="shared" si="54"/>
        <v>14.760670293464813</v>
      </c>
      <c r="W134" s="18">
        <f t="shared" si="55"/>
        <v>-2.767718161785536</v>
      </c>
      <c r="X134" s="18">
        <f t="shared" si="56"/>
        <v>17.049322371959541</v>
      </c>
      <c r="Y134" s="18">
        <f t="shared" si="57"/>
        <v>14.021588887091324</v>
      </c>
      <c r="Z134" s="16">
        <f t="shared" si="75"/>
        <v>0.5</v>
      </c>
      <c r="AA134" s="18">
        <f t="shared" si="58"/>
        <v>-7.4999999999999997E-2</v>
      </c>
      <c r="AB134" s="18">
        <f t="shared" si="59"/>
        <v>0.32296507061087687</v>
      </c>
      <c r="AC134" s="18">
        <f t="shared" si="76"/>
        <v>2.9758732347280752</v>
      </c>
      <c r="AD134" s="18">
        <f t="shared" si="60"/>
        <v>-0.10395675684604226</v>
      </c>
      <c r="AE134" s="18">
        <f t="shared" si="77"/>
        <v>-0.89560929025372404</v>
      </c>
      <c r="AF134" s="18">
        <f t="shared" si="61"/>
        <v>-2.4949621643050136E-2</v>
      </c>
      <c r="AG134" s="18">
        <f t="shared" si="79"/>
        <v>-0.21494622966089377</v>
      </c>
      <c r="AH134" s="19">
        <f t="shared" si="62"/>
        <v>0.62880281045269015</v>
      </c>
      <c r="AI134" s="19">
        <f t="shared" si="63"/>
        <v>2.6134123921585122</v>
      </c>
      <c r="AJ134" s="40">
        <f t="shared" si="64"/>
        <v>-13.392786076638636</v>
      </c>
      <c r="AK134" s="40">
        <f t="shared" si="65"/>
        <v>-11.408176494932814</v>
      </c>
      <c r="AL134" s="40">
        <f t="shared" si="66"/>
        <v>16.153713081705817</v>
      </c>
      <c r="AM134" s="40">
        <f t="shared" si="67"/>
        <v>16.782515892158507</v>
      </c>
      <c r="AN134" s="40">
        <f t="shared" si="78"/>
        <v>14.169103499999995</v>
      </c>
      <c r="AO134" s="40">
        <f t="shared" si="68"/>
        <v>2.7609270050671815</v>
      </c>
      <c r="AP134" s="17">
        <f t="shared" si="69"/>
        <v>0.64593014122175385</v>
      </c>
    </row>
    <row r="135" spans="2:42" x14ac:dyDescent="0.2">
      <c r="B135" s="2">
        <v>9</v>
      </c>
      <c r="C135" s="2">
        <f t="shared" si="70"/>
        <v>2017</v>
      </c>
      <c r="D135" s="36">
        <f t="shared" si="71"/>
        <v>14.764827525163593</v>
      </c>
      <c r="E135" s="36">
        <f t="shared" si="72"/>
        <v>14.68834477264723</v>
      </c>
      <c r="F135" s="36">
        <f t="shared" si="73"/>
        <v>2.2390086016136217</v>
      </c>
      <c r="G135" s="36">
        <f t="shared" si="74"/>
        <v>2.2151077414522602</v>
      </c>
      <c r="H135" s="37">
        <f t="shared" si="40"/>
        <v>144.45098300757473</v>
      </c>
      <c r="I135" s="37">
        <f t="shared" si="41"/>
        <v>141.52970160762044</v>
      </c>
      <c r="J135" s="37">
        <f t="shared" si="42"/>
        <v>49.829043817384154</v>
      </c>
      <c r="K135" s="37">
        <f t="shared" si="43"/>
        <v>49.238575429252506</v>
      </c>
      <c r="L135" s="37">
        <f t="shared" si="44"/>
        <v>94.621939190190574</v>
      </c>
      <c r="M135" s="37">
        <f t="shared" si="45"/>
        <v>92.291126178367932</v>
      </c>
      <c r="N135" s="38">
        <f t="shared" si="46"/>
        <v>238</v>
      </c>
      <c r="O135" s="38">
        <f t="shared" si="47"/>
        <v>170</v>
      </c>
      <c r="P135" s="16">
        <f t="shared" si="48"/>
        <v>11.859312428537429</v>
      </c>
      <c r="Q135" s="16">
        <f t="shared" si="49"/>
        <v>16.085729662332398</v>
      </c>
      <c r="R135" s="18">
        <f t="shared" si="50"/>
        <v>-4.1917563136304734</v>
      </c>
      <c r="S135" s="38">
        <f t="shared" si="51"/>
        <v>78.539999999999992</v>
      </c>
      <c r="T135" s="38">
        <f t="shared" si="52"/>
        <v>170</v>
      </c>
      <c r="U135" s="16">
        <f t="shared" si="53"/>
        <v>3.8671977142134919</v>
      </c>
      <c r="V135" s="16">
        <f t="shared" si="54"/>
        <v>15.689491450322549</v>
      </c>
      <c r="W135" s="18">
        <f t="shared" si="55"/>
        <v>-2.9335033746804062</v>
      </c>
      <c r="X135" s="18">
        <f t="shared" si="56"/>
        <v>17.356293254041727</v>
      </c>
      <c r="Y135" s="18">
        <f t="shared" si="57"/>
        <v>14.289881214794915</v>
      </c>
      <c r="Z135" s="16">
        <f t="shared" si="75"/>
        <v>0.5</v>
      </c>
      <c r="AA135" s="18">
        <f t="shared" si="58"/>
        <v>-7.4999999999999997E-2</v>
      </c>
      <c r="AB135" s="18">
        <f t="shared" si="59"/>
        <v>0.31054333712584309</v>
      </c>
      <c r="AC135" s="18">
        <f t="shared" si="76"/>
        <v>3.2864165718539184</v>
      </c>
      <c r="AD135" s="18">
        <f t="shared" si="60"/>
        <v>-0.10171207653627613</v>
      </c>
      <c r="AE135" s="18">
        <f t="shared" si="77"/>
        <v>-0.99732136679000016</v>
      </c>
      <c r="AF135" s="18">
        <f t="shared" si="61"/>
        <v>-2.4410898368706271E-2</v>
      </c>
      <c r="AG135" s="18">
        <f t="shared" si="79"/>
        <v>-0.23935712802960005</v>
      </c>
      <c r="AH135" s="19">
        <f t="shared" si="62"/>
        <v>0.97796877136750737</v>
      </c>
      <c r="AI135" s="19">
        <f t="shared" si="63"/>
        <v>3.1678371586192391</v>
      </c>
      <c r="AJ135" s="40">
        <f t="shared" si="64"/>
        <v>-13.311912443427408</v>
      </c>
      <c r="AK135" s="40">
        <f t="shared" si="65"/>
        <v>-11.122044056175676</v>
      </c>
      <c r="AL135" s="40">
        <f t="shared" si="66"/>
        <v>16.358971887251727</v>
      </c>
      <c r="AM135" s="40">
        <f t="shared" si="67"/>
        <v>17.336940658619234</v>
      </c>
      <c r="AN135" s="40">
        <f t="shared" si="78"/>
        <v>14.169103499999995</v>
      </c>
      <c r="AO135" s="40">
        <f t="shared" si="68"/>
        <v>3.0470594438243186</v>
      </c>
      <c r="AP135" s="17">
        <f t="shared" si="69"/>
        <v>0.62108667425168618</v>
      </c>
    </row>
    <row r="136" spans="2:42" x14ac:dyDescent="0.2">
      <c r="B136" s="2">
        <v>10</v>
      </c>
      <c r="C136" s="2">
        <f t="shared" si="70"/>
        <v>2018</v>
      </c>
      <c r="D136" s="36">
        <f t="shared" si="71"/>
        <v>14.856179249911957</v>
      </c>
      <c r="E136" s="36">
        <f t="shared" si="72"/>
        <v>14.770561324920758</v>
      </c>
      <c r="F136" s="36">
        <f t="shared" si="73"/>
        <v>2.2675560155974854</v>
      </c>
      <c r="G136" s="36">
        <f t="shared" si="74"/>
        <v>2.2408004140377376</v>
      </c>
      <c r="H136" s="37">
        <f t="shared" si="40"/>
        <v>147.98858217760903</v>
      </c>
      <c r="I136" s="37">
        <f t="shared" si="41"/>
        <v>144.671472234015</v>
      </c>
      <c r="J136" s="37">
        <f t="shared" si="42"/>
        <v>50.537880081989648</v>
      </c>
      <c r="K136" s="37">
        <f t="shared" si="43"/>
        <v>49.873420293911252</v>
      </c>
      <c r="L136" s="37">
        <f t="shared" si="44"/>
        <v>97.450702095619391</v>
      </c>
      <c r="M136" s="37">
        <f t="shared" si="45"/>
        <v>94.798051940103747</v>
      </c>
      <c r="N136" s="38">
        <f t="shared" si="46"/>
        <v>245.875</v>
      </c>
      <c r="O136" s="38">
        <f t="shared" si="47"/>
        <v>175.625</v>
      </c>
      <c r="P136" s="16">
        <f t="shared" si="48"/>
        <v>12.426001265159206</v>
      </c>
      <c r="Q136" s="16">
        <f t="shared" si="49"/>
        <v>17.114779555543155</v>
      </c>
      <c r="R136" s="18">
        <f t="shared" si="50"/>
        <v>-4.4311171231053539</v>
      </c>
      <c r="S136" s="38">
        <f t="shared" si="51"/>
        <v>81.138750000000002</v>
      </c>
      <c r="T136" s="38">
        <f t="shared" si="52"/>
        <v>175.625</v>
      </c>
      <c r="U136" s="16">
        <f t="shared" si="53"/>
        <v>4.0466669808725912</v>
      </c>
      <c r="V136" s="16">
        <f t="shared" si="54"/>
        <v>16.648907871980722</v>
      </c>
      <c r="W136" s="18">
        <f t="shared" si="55"/>
        <v>-3.1043362279279969</v>
      </c>
      <c r="X136" s="18">
        <f t="shared" si="56"/>
        <v>17.641716648776949</v>
      </c>
      <c r="Y136" s="18">
        <f t="shared" si="57"/>
        <v>14.540436376793544</v>
      </c>
      <c r="Z136" s="16">
        <f t="shared" si="75"/>
        <v>0.5</v>
      </c>
      <c r="AA136" s="18">
        <f t="shared" si="58"/>
        <v>-7.4999999999999997E-2</v>
      </c>
      <c r="AB136" s="18">
        <f t="shared" si="59"/>
        <v>0.29859936262100295</v>
      </c>
      <c r="AC136" s="18">
        <f t="shared" si="76"/>
        <v>3.5850159344749213</v>
      </c>
      <c r="AD136" s="18">
        <f t="shared" si="60"/>
        <v>-9.9486281757962397E-2</v>
      </c>
      <c r="AE136" s="18">
        <f t="shared" si="77"/>
        <v>-1.0968076485479625</v>
      </c>
      <c r="AF136" s="18">
        <f t="shared" si="61"/>
        <v>-2.3876707621910971E-2</v>
      </c>
      <c r="AG136" s="18">
        <f t="shared" si="79"/>
        <v>-0.26323383565151104</v>
      </c>
      <c r="AH136" s="19">
        <f t="shared" si="62"/>
        <v>1.3173094753879653</v>
      </c>
      <c r="AI136" s="19">
        <f t="shared" si="63"/>
        <v>3.6931149756169575</v>
      </c>
      <c r="AJ136" s="40">
        <f t="shared" si="64"/>
        <v>-13.223126901405577</v>
      </c>
      <c r="AK136" s="40">
        <f t="shared" si="65"/>
        <v>-10.847321401176584</v>
      </c>
      <c r="AL136" s="40">
        <f t="shared" si="66"/>
        <v>16.544909000228987</v>
      </c>
      <c r="AM136" s="40">
        <f t="shared" si="67"/>
        <v>17.862218475616952</v>
      </c>
      <c r="AN136" s="40">
        <f t="shared" si="78"/>
        <v>14.169103499999995</v>
      </c>
      <c r="AO136" s="40">
        <f t="shared" si="68"/>
        <v>3.3217820988234101</v>
      </c>
      <c r="AP136" s="17">
        <f t="shared" si="69"/>
        <v>0.59719872524200601</v>
      </c>
    </row>
    <row r="137" spans="2:42" x14ac:dyDescent="0.2">
      <c r="B137" s="2">
        <v>11</v>
      </c>
      <c r="C137" s="2">
        <f t="shared" si="70"/>
        <v>2019</v>
      </c>
      <c r="D137" s="36">
        <f t="shared" si="71"/>
        <v>14.946617457412838</v>
      </c>
      <c r="E137" s="36">
        <f t="shared" si="72"/>
        <v>14.85195571167155</v>
      </c>
      <c r="F137" s="36">
        <f t="shared" si="73"/>
        <v>2.2958179554415103</v>
      </c>
      <c r="G137" s="36">
        <f t="shared" si="74"/>
        <v>2.2662361598973604</v>
      </c>
      <c r="H137" s="37">
        <f t="shared" si="40"/>
        <v>151.54300133202054</v>
      </c>
      <c r="I137" s="37">
        <f t="shared" si="41"/>
        <v>147.82385967909164</v>
      </c>
      <c r="J137" s="37">
        <f t="shared" si="42"/>
        <v>51.243461762648913</v>
      </c>
      <c r="K137" s="37">
        <f t="shared" si="43"/>
        <v>50.50502207067025</v>
      </c>
      <c r="L137" s="37">
        <f t="shared" si="44"/>
        <v>100.29953956937163</v>
      </c>
      <c r="M137" s="37">
        <f t="shared" si="45"/>
        <v>97.31883760842139</v>
      </c>
      <c r="N137" s="38">
        <f t="shared" si="46"/>
        <v>253.75</v>
      </c>
      <c r="O137" s="38">
        <f t="shared" si="47"/>
        <v>181.25</v>
      </c>
      <c r="P137" s="16">
        <f t="shared" si="48"/>
        <v>13.003028422272161</v>
      </c>
      <c r="Q137" s="16">
        <f t="shared" si="49"/>
        <v>18.179291546948608</v>
      </c>
      <c r="R137" s="18">
        <f t="shared" si="50"/>
        <v>-4.6773479953831156</v>
      </c>
      <c r="S137" s="38">
        <f t="shared" si="51"/>
        <v>83.737499999999997</v>
      </c>
      <c r="T137" s="38">
        <f t="shared" si="52"/>
        <v>181.25</v>
      </c>
      <c r="U137" s="16">
        <f t="shared" si="53"/>
        <v>4.2291642856427494</v>
      </c>
      <c r="V137" s="16">
        <f t="shared" si="54"/>
        <v>17.639039316526375</v>
      </c>
      <c r="W137" s="18">
        <f t="shared" si="55"/>
        <v>-3.2802305403253684</v>
      </c>
      <c r="X137" s="18">
        <f t="shared" si="56"/>
        <v>17.905809361256722</v>
      </c>
      <c r="Y137" s="18">
        <f t="shared" si="57"/>
        <v>14.773374790212719</v>
      </c>
      <c r="Z137" s="16">
        <f t="shared" si="75"/>
        <v>0.5</v>
      </c>
      <c r="AA137" s="18">
        <f t="shared" si="58"/>
        <v>-7.4999999999999997E-2</v>
      </c>
      <c r="AB137" s="18">
        <f t="shared" si="59"/>
        <v>0.28711477175096439</v>
      </c>
      <c r="AC137" s="18">
        <f t="shared" si="76"/>
        <v>3.8721307062258856</v>
      </c>
      <c r="AD137" s="18">
        <f t="shared" si="60"/>
        <v>-9.7281240310914979E-2</v>
      </c>
      <c r="AE137" s="18">
        <f t="shared" si="77"/>
        <v>-1.1940888888588774</v>
      </c>
      <c r="AF137" s="18">
        <f t="shared" si="61"/>
        <v>-2.3347497674619595E-2</v>
      </c>
      <c r="AG137" s="18">
        <f t="shared" si="79"/>
        <v>-0.28658133332613062</v>
      </c>
      <c r="AH137" s="19">
        <f t="shared" si="62"/>
        <v>1.6472036907146332</v>
      </c>
      <c r="AI137" s="19">
        <f t="shared" si="63"/>
        <v>4.1898206631124815</v>
      </c>
      <c r="AJ137" s="40">
        <f t="shared" si="64"/>
        <v>-13.126171099498087</v>
      </c>
      <c r="AK137" s="40">
        <f t="shared" si="65"/>
        <v>-10.583554127100239</v>
      </c>
      <c r="AL137" s="40">
        <f t="shared" si="66"/>
        <v>16.711720472397843</v>
      </c>
      <c r="AM137" s="40">
        <f t="shared" si="67"/>
        <v>18.358924163112476</v>
      </c>
      <c r="AN137" s="40">
        <f t="shared" si="78"/>
        <v>14.169103499999995</v>
      </c>
      <c r="AO137" s="40">
        <f t="shared" si="68"/>
        <v>3.5855493728997549</v>
      </c>
      <c r="AP137" s="17">
        <f t="shared" si="69"/>
        <v>0.57422954350192879</v>
      </c>
    </row>
    <row r="138" spans="2:42" x14ac:dyDescent="0.2">
      <c r="B138" s="2">
        <v>12</v>
      </c>
      <c r="C138" s="2">
        <f t="shared" si="70"/>
        <v>2020</v>
      </c>
      <c r="D138" s="36">
        <f t="shared" si="71"/>
        <v>15.036151282838709</v>
      </c>
      <c r="E138" s="36">
        <f t="shared" si="72"/>
        <v>14.932536154554835</v>
      </c>
      <c r="F138" s="36">
        <f t="shared" si="73"/>
        <v>2.3237972758870953</v>
      </c>
      <c r="G138" s="36">
        <f t="shared" si="74"/>
        <v>2.2914175482983867</v>
      </c>
      <c r="H138" s="37">
        <f t="shared" si="40"/>
        <v>155.11334282979394</v>
      </c>
      <c r="I138" s="37">
        <f t="shared" si="41"/>
        <v>150.9861490198472</v>
      </c>
      <c r="J138" s="37">
        <f t="shared" si="42"/>
        <v>51.945745113005266</v>
      </c>
      <c r="K138" s="37">
        <f t="shared" si="43"/>
        <v>51.133351393729654</v>
      </c>
      <c r="L138" s="37">
        <f t="shared" si="44"/>
        <v>103.16759771678866</v>
      </c>
      <c r="M138" s="37">
        <f t="shared" si="45"/>
        <v>99.85279762611755</v>
      </c>
      <c r="N138" s="38">
        <f t="shared" si="46"/>
        <v>261.625</v>
      </c>
      <c r="O138" s="38">
        <f t="shared" si="47"/>
        <v>186.875</v>
      </c>
      <c r="P138" s="16">
        <f t="shared" si="48"/>
        <v>13.590305565190002</v>
      </c>
      <c r="Q138" s="16">
        <f t="shared" si="49"/>
        <v>19.279444823324884</v>
      </c>
      <c r="R138" s="18">
        <f t="shared" si="50"/>
        <v>-4.9304625582772328</v>
      </c>
      <c r="S138" s="38">
        <f t="shared" si="51"/>
        <v>86.336250000000007</v>
      </c>
      <c r="T138" s="38">
        <f t="shared" si="52"/>
        <v>186.875</v>
      </c>
      <c r="U138" s="16">
        <f t="shared" si="53"/>
        <v>4.4146618092668923</v>
      </c>
      <c r="V138" s="16">
        <f t="shared" si="54"/>
        <v>18.659991556380717</v>
      </c>
      <c r="W138" s="18">
        <f t="shared" si="55"/>
        <v>-3.4611980048471414</v>
      </c>
      <c r="X138" s="18">
        <f t="shared" si="56"/>
        <v>18.148828615980047</v>
      </c>
      <c r="Y138" s="18">
        <f t="shared" si="57"/>
        <v>14.988854828756869</v>
      </c>
      <c r="Z138" s="16">
        <f t="shared" si="75"/>
        <v>0.5</v>
      </c>
      <c r="AA138" s="18">
        <f t="shared" si="58"/>
        <v>-7.4999999999999997E-2</v>
      </c>
      <c r="AB138" s="18">
        <f t="shared" si="59"/>
        <v>0.27607189591438885</v>
      </c>
      <c r="AC138" s="18">
        <f t="shared" si="76"/>
        <v>4.1482026021402749</v>
      </c>
      <c r="AD138" s="18">
        <f t="shared" si="60"/>
        <v>-9.5098648380862419E-2</v>
      </c>
      <c r="AE138" s="18">
        <f t="shared" si="77"/>
        <v>-1.2891875372397399</v>
      </c>
      <c r="AF138" s="18">
        <f t="shared" si="61"/>
        <v>-2.2823675611406975E-2</v>
      </c>
      <c r="AG138" s="18">
        <f t="shared" si="79"/>
        <v>-0.30940500893753758</v>
      </c>
      <c r="AH138" s="19">
        <f t="shared" si="62"/>
        <v>1.9680113432192989</v>
      </c>
      <c r="AI138" s="19">
        <f t="shared" si="63"/>
        <v>4.6585489219596106</v>
      </c>
      <c r="AJ138" s="40">
        <f t="shared" si="64"/>
        <v>-13.020843485537569</v>
      </c>
      <c r="AK138" s="40">
        <f t="shared" si="65"/>
        <v>-10.330305906797257</v>
      </c>
      <c r="AL138" s="40">
        <f t="shared" si="66"/>
        <v>16.859641078740307</v>
      </c>
      <c r="AM138" s="40">
        <f t="shared" si="67"/>
        <v>18.827652421959606</v>
      </c>
      <c r="AN138" s="40">
        <f t="shared" si="78"/>
        <v>14.169103499999995</v>
      </c>
      <c r="AO138" s="40">
        <f t="shared" si="68"/>
        <v>3.8387975932027372</v>
      </c>
      <c r="AP138" s="17">
        <f t="shared" si="69"/>
        <v>0.5521437918287776</v>
      </c>
    </row>
    <row r="139" spans="2:42" x14ac:dyDescent="0.2">
      <c r="B139" s="2">
        <v>13</v>
      </c>
      <c r="C139" s="2">
        <f t="shared" si="70"/>
        <v>2021</v>
      </c>
      <c r="D139" s="36">
        <f t="shared" si="71"/>
        <v>15.124789770010322</v>
      </c>
      <c r="E139" s="36">
        <f t="shared" si="72"/>
        <v>15.012310793009288</v>
      </c>
      <c r="F139" s="36">
        <f t="shared" si="73"/>
        <v>2.3514968031282244</v>
      </c>
      <c r="G139" s="36">
        <f t="shared" si="74"/>
        <v>2.3163471228154027</v>
      </c>
      <c r="H139" s="37">
        <f t="shared" si="40"/>
        <v>158.69872030227066</v>
      </c>
      <c r="I139" s="37">
        <f t="shared" si="41"/>
        <v>154.15763584182767</v>
      </c>
      <c r="J139" s="37">
        <f t="shared" si="42"/>
        <v>52.64468834238032</v>
      </c>
      <c r="K139" s="37">
        <f t="shared" si="43"/>
        <v>51.758380420701506</v>
      </c>
      <c r="L139" s="37">
        <f t="shared" si="44"/>
        <v>106.05403195989034</v>
      </c>
      <c r="M139" s="37">
        <f t="shared" si="45"/>
        <v>102.39925542112616</v>
      </c>
      <c r="N139" s="38">
        <f t="shared" si="46"/>
        <v>269.5</v>
      </c>
      <c r="O139" s="38">
        <f t="shared" si="47"/>
        <v>192.5</v>
      </c>
      <c r="P139" s="16">
        <f t="shared" si="48"/>
        <v>14.187743508271497</v>
      </c>
      <c r="Q139" s="16">
        <f t="shared" si="49"/>
        <v>20.415401152278889</v>
      </c>
      <c r="R139" s="18">
        <f t="shared" si="50"/>
        <v>-5.1904716990825577</v>
      </c>
      <c r="S139" s="38">
        <f t="shared" si="51"/>
        <v>88.935000000000002</v>
      </c>
      <c r="T139" s="38">
        <f t="shared" si="52"/>
        <v>192.5</v>
      </c>
      <c r="U139" s="16">
        <f t="shared" si="53"/>
        <v>4.6031315627150882</v>
      </c>
      <c r="V139" s="16">
        <f t="shared" si="54"/>
        <v>19.711856668566785</v>
      </c>
      <c r="W139" s="18">
        <f t="shared" si="55"/>
        <v>-3.647248234692281</v>
      </c>
      <c r="X139" s="18">
        <f t="shared" si="56"/>
        <v>18.371068751996162</v>
      </c>
      <c r="Y139" s="18">
        <f t="shared" si="57"/>
        <v>15.187069909832665</v>
      </c>
      <c r="Z139" s="16">
        <f t="shared" si="75"/>
        <v>0.5</v>
      </c>
      <c r="AA139" s="18">
        <f t="shared" si="58"/>
        <v>-7.4999999999999997E-2</v>
      </c>
      <c r="AB139" s="18">
        <f t="shared" si="59"/>
        <v>0.26545374607152766</v>
      </c>
      <c r="AC139" s="18">
        <f t="shared" si="76"/>
        <v>4.413656348211803</v>
      </c>
      <c r="AD139" s="18">
        <f t="shared" si="60"/>
        <v>-9.2940040977513683E-2</v>
      </c>
      <c r="AE139" s="18">
        <f t="shared" si="77"/>
        <v>-1.3821275782172535</v>
      </c>
      <c r="AF139" s="18">
        <f t="shared" si="61"/>
        <v>-2.2305609834603283E-2</v>
      </c>
      <c r="AG139" s="18">
        <f t="shared" si="79"/>
        <v>-0.33171061877214086</v>
      </c>
      <c r="AH139" s="19">
        <f t="shared" si="62"/>
        <v>2.2800744654934171</v>
      </c>
      <c r="AI139" s="19">
        <f t="shared" si="63"/>
        <v>5.0999121392723303</v>
      </c>
      <c r="AJ139" s="40">
        <f t="shared" si="64"/>
        <v>-12.906995444339247</v>
      </c>
      <c r="AK139" s="40">
        <f t="shared" si="65"/>
        <v>-10.087157770560333</v>
      </c>
      <c r="AL139" s="40">
        <f t="shared" si="66"/>
        <v>16.988941173778908</v>
      </c>
      <c r="AM139" s="40">
        <f t="shared" si="67"/>
        <v>19.269015639272325</v>
      </c>
      <c r="AN139" s="40">
        <f t="shared" si="78"/>
        <v>14.169103499999995</v>
      </c>
      <c r="AO139" s="40">
        <f t="shared" si="68"/>
        <v>4.0819457294396617</v>
      </c>
      <c r="AP139" s="17">
        <f t="shared" si="69"/>
        <v>0.53090749214305544</v>
      </c>
    </row>
    <row r="140" spans="2:42" x14ac:dyDescent="0.2">
      <c r="B140" s="2">
        <v>14</v>
      </c>
      <c r="C140" s="2">
        <f t="shared" si="70"/>
        <v>2022</v>
      </c>
      <c r="D140" s="36">
        <f t="shared" si="71"/>
        <v>15.212541872310219</v>
      </c>
      <c r="E140" s="36">
        <f t="shared" si="72"/>
        <v>15.091287685079195</v>
      </c>
      <c r="F140" s="36">
        <f t="shared" si="73"/>
        <v>2.378919335096942</v>
      </c>
      <c r="G140" s="36">
        <f t="shared" si="74"/>
        <v>2.3410274015872488</v>
      </c>
      <c r="H140" s="37">
        <f t="shared" si="40"/>
        <v>162.29825897725669</v>
      </c>
      <c r="I140" s="37">
        <f t="shared" si="41"/>
        <v>157.33762640567667</v>
      </c>
      <c r="J140" s="37">
        <f t="shared" si="42"/>
        <v>53.340251566004696</v>
      </c>
      <c r="K140" s="37">
        <f t="shared" si="43"/>
        <v>52.380082792903522</v>
      </c>
      <c r="L140" s="37">
        <f t="shared" si="44"/>
        <v>108.958007411252</v>
      </c>
      <c r="M140" s="37">
        <f t="shared" si="45"/>
        <v>104.95754361277315</v>
      </c>
      <c r="N140" s="38">
        <f t="shared" si="46"/>
        <v>277.375</v>
      </c>
      <c r="O140" s="38">
        <f t="shared" si="47"/>
        <v>198.125</v>
      </c>
      <c r="P140" s="16">
        <f t="shared" si="48"/>
        <v>14.795252278120552</v>
      </c>
      <c r="Q140" s="16">
        <f t="shared" si="49"/>
        <v>21.587305218354302</v>
      </c>
      <c r="R140" s="18">
        <f t="shared" si="50"/>
        <v>-5.4573836244712277</v>
      </c>
      <c r="S140" s="38">
        <f t="shared" si="51"/>
        <v>91.533749999999998</v>
      </c>
      <c r="T140" s="38">
        <f t="shared" si="52"/>
        <v>198.125</v>
      </c>
      <c r="U140" s="16">
        <f t="shared" si="53"/>
        <v>4.7945454033449328</v>
      </c>
      <c r="V140" s="16">
        <f t="shared" si="54"/>
        <v>20.794713328280679</v>
      </c>
      <c r="W140" s="18">
        <f t="shared" si="55"/>
        <v>-3.8383888097438419</v>
      </c>
      <c r="X140" s="18">
        <f t="shared" si="56"/>
        <v>18.572858036734598</v>
      </c>
      <c r="Y140" s="18">
        <f t="shared" si="57"/>
        <v>15.368245677609881</v>
      </c>
      <c r="Z140" s="16">
        <f t="shared" si="75"/>
        <v>0.5</v>
      </c>
      <c r="AA140" s="18">
        <f t="shared" si="58"/>
        <v>-7.4999999999999997E-2</v>
      </c>
      <c r="AB140" s="18">
        <f t="shared" si="59"/>
        <v>0.25524398660723813</v>
      </c>
      <c r="AC140" s="18">
        <f t="shared" si="76"/>
        <v>4.6689003348190408</v>
      </c>
      <c r="AD140" s="18">
        <f t="shared" si="60"/>
        <v>-9.0806801823563321E-2</v>
      </c>
      <c r="AE140" s="18">
        <f t="shared" si="77"/>
        <v>-1.4729343800408168</v>
      </c>
      <c r="AF140" s="18">
        <f t="shared" si="61"/>
        <v>-2.179363243765519E-2</v>
      </c>
      <c r="AG140" s="18">
        <f t="shared" si="79"/>
        <v>-0.35350425120979606</v>
      </c>
      <c r="AH140" s="19">
        <f t="shared" si="62"/>
        <v>2.5837181045253423</v>
      </c>
      <c r="AI140" s="19">
        <f t="shared" si="63"/>
        <v>5.5145382612191298</v>
      </c>
      <c r="AJ140" s="40">
        <f t="shared" si="64"/>
        <v>-12.784527573084539</v>
      </c>
      <c r="AK140" s="40">
        <f t="shared" si="65"/>
        <v>-9.8537074163907512</v>
      </c>
      <c r="AL140" s="40">
        <f t="shared" si="66"/>
        <v>17.099923656693782</v>
      </c>
      <c r="AM140" s="40">
        <f t="shared" si="67"/>
        <v>19.683641761219125</v>
      </c>
      <c r="AN140" s="40">
        <f t="shared" si="78"/>
        <v>14.169103499999995</v>
      </c>
      <c r="AO140" s="40">
        <f t="shared" si="68"/>
        <v>4.3153960836092446</v>
      </c>
      <c r="AP140" s="17">
        <f t="shared" si="69"/>
        <v>0.51048797321447625</v>
      </c>
    </row>
    <row r="141" spans="2:42" x14ac:dyDescent="0.2">
      <c r="B141" s="2">
        <v>15</v>
      </c>
      <c r="C141" s="2">
        <f t="shared" si="70"/>
        <v>2023</v>
      </c>
      <c r="D141" s="36">
        <f t="shared" si="71"/>
        <v>15.299416453587117</v>
      </c>
      <c r="E141" s="36">
        <f t="shared" si="72"/>
        <v>15.169474808228403</v>
      </c>
      <c r="F141" s="36">
        <f t="shared" si="73"/>
        <v>2.4060676417459725</v>
      </c>
      <c r="G141" s="36">
        <f t="shared" si="74"/>
        <v>2.3654608775713761</v>
      </c>
      <c r="H141" s="37">
        <f t="shared" si="40"/>
        <v>165.91109597215427</v>
      </c>
      <c r="I141" s="37">
        <f t="shared" si="41"/>
        <v>160.52543779346695</v>
      </c>
      <c r="J141" s="37">
        <f t="shared" si="42"/>
        <v>54.032396756347715</v>
      </c>
      <c r="K141" s="37">
        <f t="shared" si="43"/>
        <v>52.998433596536948</v>
      </c>
      <c r="L141" s="37">
        <f t="shared" si="44"/>
        <v>111.87869921580656</v>
      </c>
      <c r="M141" s="37">
        <f t="shared" si="45"/>
        <v>107.52700419692999</v>
      </c>
      <c r="N141" s="38">
        <f t="shared" si="46"/>
        <v>285.25</v>
      </c>
      <c r="O141" s="38">
        <f t="shared" si="47"/>
        <v>203.75</v>
      </c>
      <c r="P141" s="16">
        <f t="shared" si="48"/>
        <v>15.412741174748186</v>
      </c>
      <c r="Q141" s="16">
        <f t="shared" si="49"/>
        <v>22.795284965220585</v>
      </c>
      <c r="R141" s="18">
        <f t="shared" si="50"/>
        <v>-5.7312039209953154</v>
      </c>
      <c r="S141" s="38">
        <f t="shared" si="51"/>
        <v>94.132499999999993</v>
      </c>
      <c r="T141" s="38">
        <f t="shared" si="52"/>
        <v>203.75</v>
      </c>
      <c r="U141" s="16">
        <f t="shared" si="53"/>
        <v>4.9888750505260138</v>
      </c>
      <c r="V141" s="16">
        <f t="shared" si="54"/>
        <v>21.908627105124484</v>
      </c>
      <c r="W141" s="18">
        <f t="shared" si="55"/>
        <v>-4.0346253233475746</v>
      </c>
      <c r="X141" s="18">
        <f t="shared" si="56"/>
        <v>18.754555600690761</v>
      </c>
      <c r="Y141" s="18">
        <f t="shared" si="57"/>
        <v>15.532637285033973</v>
      </c>
      <c r="Z141" s="16">
        <f t="shared" si="75"/>
        <v>0.5</v>
      </c>
      <c r="AA141" s="18">
        <f t="shared" si="58"/>
        <v>-7.4999999999999997E-2</v>
      </c>
      <c r="AB141" s="18">
        <f t="shared" si="59"/>
        <v>0.24542691019926746</v>
      </c>
      <c r="AC141" s="18">
        <f t="shared" si="76"/>
        <v>4.914327245018308</v>
      </c>
      <c r="AD141" s="18">
        <f t="shared" si="60"/>
        <v>-8.8700172721429354E-2</v>
      </c>
      <c r="AE141" s="18">
        <f t="shared" si="77"/>
        <v>-1.5616345527622462</v>
      </c>
      <c r="AF141" s="18">
        <f t="shared" si="61"/>
        <v>-2.1288041453143045E-2</v>
      </c>
      <c r="AG141" s="18">
        <f t="shared" si="79"/>
        <v>-0.37479229266293912</v>
      </c>
      <c r="AH141" s="19">
        <f t="shared" si="62"/>
        <v>2.8792511894608275</v>
      </c>
      <c r="AI141" s="19">
        <f t="shared" si="63"/>
        <v>5.9030687373893471</v>
      </c>
      <c r="AJ141" s="40">
        <f t="shared" si="64"/>
        <v>-12.653386095573147</v>
      </c>
      <c r="AK141" s="40">
        <f t="shared" si="65"/>
        <v>-9.6295685476446273</v>
      </c>
      <c r="AL141" s="40">
        <f t="shared" si="66"/>
        <v>17.192921047928515</v>
      </c>
      <c r="AM141" s="40">
        <f t="shared" si="67"/>
        <v>20.072172237389342</v>
      </c>
      <c r="AN141" s="40">
        <f t="shared" si="78"/>
        <v>14.169103499999995</v>
      </c>
      <c r="AO141" s="40">
        <f t="shared" si="68"/>
        <v>4.5395349523553685</v>
      </c>
      <c r="AP141" s="17">
        <f t="shared" si="69"/>
        <v>0.49085382039853498</v>
      </c>
    </row>
    <row r="142" spans="2:42" x14ac:dyDescent="0.2">
      <c r="B142" s="2">
        <v>16</v>
      </c>
      <c r="C142" s="2">
        <f t="shared" si="70"/>
        <v>2024</v>
      </c>
      <c r="D142" s="36">
        <f t="shared" si="71"/>
        <v>15.385422289051245</v>
      </c>
      <c r="E142" s="36">
        <f t="shared" si="72"/>
        <v>15.246880060146118</v>
      </c>
      <c r="F142" s="36">
        <f t="shared" si="73"/>
        <v>2.4329444653285126</v>
      </c>
      <c r="G142" s="36">
        <f t="shared" si="74"/>
        <v>2.3896500187956624</v>
      </c>
      <c r="H142" s="37">
        <f t="shared" si="40"/>
        <v>169.53638055772791</v>
      </c>
      <c r="I142" s="37">
        <f t="shared" si="41"/>
        <v>163.72039803590056</v>
      </c>
      <c r="J142" s="37">
        <f t="shared" si="42"/>
        <v>54.721087695522947</v>
      </c>
      <c r="K142" s="37">
        <f t="shared" si="43"/>
        <v>53.613409324729943</v>
      </c>
      <c r="L142" s="37">
        <f t="shared" si="44"/>
        <v>114.81529286220496</v>
      </c>
      <c r="M142" s="37">
        <f t="shared" si="45"/>
        <v>110.10698871117062</v>
      </c>
      <c r="N142" s="38">
        <f t="shared" si="46"/>
        <v>293.125</v>
      </c>
      <c r="O142" s="38">
        <f t="shared" si="47"/>
        <v>209.375</v>
      </c>
      <c r="P142" s="16">
        <f t="shared" si="48"/>
        <v>16.040118830750163</v>
      </c>
      <c r="Q142" s="16">
        <f t="shared" si="49"/>
        <v>24.039451943024162</v>
      </c>
      <c r="R142" s="18">
        <f t="shared" si="50"/>
        <v>-6.0119356160661477</v>
      </c>
      <c r="S142" s="38">
        <f t="shared" si="51"/>
        <v>96.731249999999989</v>
      </c>
      <c r="T142" s="38">
        <f t="shared" si="52"/>
        <v>209.375</v>
      </c>
      <c r="U142" s="16">
        <f t="shared" si="53"/>
        <v>5.1860921007427825</v>
      </c>
      <c r="V142" s="16">
        <f t="shared" si="54"/>
        <v>23.053650761401347</v>
      </c>
      <c r="W142" s="18">
        <f t="shared" si="55"/>
        <v>-4.2359614293216197</v>
      </c>
      <c r="X142" s="18">
        <f t="shared" si="56"/>
        <v>18.916548494462106</v>
      </c>
      <c r="Y142" s="18">
        <f t="shared" si="57"/>
        <v>15.680526777099212</v>
      </c>
      <c r="Z142" s="16">
        <f t="shared" si="75"/>
        <v>0.5</v>
      </c>
      <c r="AA142" s="18">
        <f t="shared" si="58"/>
        <v>-7.4999999999999997E-2</v>
      </c>
      <c r="AB142" s="18">
        <f t="shared" si="59"/>
        <v>0.2359874136531418</v>
      </c>
      <c r="AC142" s="18">
        <f t="shared" si="76"/>
        <v>5.1503146586714497</v>
      </c>
      <c r="AD142" s="18">
        <f t="shared" si="60"/>
        <v>-8.6621262423270867E-2</v>
      </c>
      <c r="AE142" s="18">
        <f t="shared" si="77"/>
        <v>-1.6482558151855171</v>
      </c>
      <c r="AF142" s="18">
        <f t="shared" si="61"/>
        <v>-2.0789102981585005E-2</v>
      </c>
      <c r="AG142" s="18">
        <f t="shared" si="79"/>
        <v>-0.3955813956445241</v>
      </c>
      <c r="AH142" s="19">
        <f t="shared" si="62"/>
        <v>3.1669673608495508</v>
      </c>
      <c r="AI142" s="19">
        <f t="shared" si="63"/>
        <v>6.2661565401261434</v>
      </c>
      <c r="AJ142" s="40">
        <f t="shared" si="64"/>
        <v>-12.513559416249663</v>
      </c>
      <c r="AK142" s="40">
        <f t="shared" si="65"/>
        <v>-9.4143702369730704</v>
      </c>
      <c r="AL142" s="40">
        <f t="shared" si="66"/>
        <v>17.268292679276588</v>
      </c>
      <c r="AM142" s="40">
        <f t="shared" si="67"/>
        <v>20.435260040126138</v>
      </c>
      <c r="AN142" s="40">
        <f t="shared" si="78"/>
        <v>14.169103499999995</v>
      </c>
      <c r="AO142" s="40">
        <f t="shared" si="68"/>
        <v>4.7547332630269254</v>
      </c>
      <c r="AP142" s="17">
        <f t="shared" si="69"/>
        <v>0.4719748273062836</v>
      </c>
    </row>
    <row r="143" spans="2:42" x14ac:dyDescent="0.2">
      <c r="B143" s="2">
        <v>17</v>
      </c>
      <c r="C143" s="2">
        <f t="shared" si="70"/>
        <v>2025</v>
      </c>
      <c r="D143" s="36">
        <f t="shared" si="71"/>
        <v>15.470568066160732</v>
      </c>
      <c r="E143" s="36">
        <f t="shared" si="72"/>
        <v>15.323511259544658</v>
      </c>
      <c r="F143" s="36">
        <f t="shared" si="73"/>
        <v>2.4595525206752273</v>
      </c>
      <c r="G143" s="36">
        <f t="shared" si="74"/>
        <v>2.4135972686077056</v>
      </c>
      <c r="H143" s="37">
        <f t="shared" si="40"/>
        <v>173.17327439404886</v>
      </c>
      <c r="I143" s="37">
        <f t="shared" si="41"/>
        <v>166.92184622141187</v>
      </c>
      <c r="J143" s="37">
        <f t="shared" si="42"/>
        <v>55.406289928747455</v>
      </c>
      <c r="K143" s="37">
        <f t="shared" si="43"/>
        <v>54.224987840428241</v>
      </c>
      <c r="L143" s="37">
        <f t="shared" si="44"/>
        <v>117.76698446530141</v>
      </c>
      <c r="M143" s="37">
        <f t="shared" si="45"/>
        <v>112.69685838098363</v>
      </c>
      <c r="N143" s="38">
        <f t="shared" si="46"/>
        <v>301</v>
      </c>
      <c r="O143" s="38">
        <f t="shared" si="47"/>
        <v>215</v>
      </c>
      <c r="P143" s="16">
        <f t="shared" si="48"/>
        <v>16.677293268552983</v>
      </c>
      <c r="Q143" s="16">
        <f t="shared" si="49"/>
        <v>25.3199016600398</v>
      </c>
      <c r="R143" s="18">
        <f t="shared" si="50"/>
        <v>-6.2995792392889172</v>
      </c>
      <c r="S143" s="38">
        <f t="shared" si="51"/>
        <v>99.33</v>
      </c>
      <c r="T143" s="38">
        <f t="shared" si="52"/>
        <v>215</v>
      </c>
      <c r="U143" s="16">
        <f t="shared" si="53"/>
        <v>5.3861680421897375</v>
      </c>
      <c r="V143" s="16">
        <f t="shared" si="54"/>
        <v>24.229824551911481</v>
      </c>
      <c r="W143" s="18">
        <f t="shared" si="55"/>
        <v>-4.4423988891151822</v>
      </c>
      <c r="X143" s="18">
        <f t="shared" si="56"/>
        <v>19.059248869010485</v>
      </c>
      <c r="Y143" s="18">
        <f t="shared" si="57"/>
        <v>15.812220577041961</v>
      </c>
      <c r="Z143" s="16">
        <f t="shared" si="75"/>
        <v>0.5</v>
      </c>
      <c r="AA143" s="18">
        <f t="shared" si="58"/>
        <v>-7.4999999999999997E-2</v>
      </c>
      <c r="AB143" s="18">
        <f t="shared" si="59"/>
        <v>0.22691097466648244</v>
      </c>
      <c r="AC143" s="18">
        <f t="shared" si="76"/>
        <v>5.3772256333379325</v>
      </c>
      <c r="AD143" s="18">
        <f t="shared" si="60"/>
        <v>-8.4571055028637224E-2</v>
      </c>
      <c r="AE143" s="18">
        <f t="shared" si="77"/>
        <v>-1.7328268702141543</v>
      </c>
      <c r="AF143" s="18">
        <f t="shared" si="61"/>
        <v>-2.0297053206872931E-2</v>
      </c>
      <c r="AG143" s="18">
        <f t="shared" si="79"/>
        <v>-0.41587844885139702</v>
      </c>
      <c r="AH143" s="19">
        <f t="shared" si="62"/>
        <v>3.4471457627321627</v>
      </c>
      <c r="AI143" s="19">
        <f t="shared" si="63"/>
        <v>6.6044642615284985</v>
      </c>
      <c r="AJ143" s="40">
        <f t="shared" si="64"/>
        <v>-12.365074814309796</v>
      </c>
      <c r="AK143" s="40">
        <f t="shared" si="65"/>
        <v>-9.2077563155134605</v>
      </c>
      <c r="AL143" s="40">
        <f t="shared" si="66"/>
        <v>17.326421998796331</v>
      </c>
      <c r="AM143" s="40">
        <f t="shared" si="67"/>
        <v>20.773567761528493</v>
      </c>
      <c r="AN143" s="40">
        <f t="shared" si="78"/>
        <v>14.169103499999995</v>
      </c>
      <c r="AO143" s="40">
        <f t="shared" si="68"/>
        <v>4.9613471844865353</v>
      </c>
      <c r="AP143" s="17">
        <f t="shared" si="69"/>
        <v>0.45382194933296494</v>
      </c>
    </row>
    <row r="144" spans="2:42" x14ac:dyDescent="0.2">
      <c r="B144" s="2">
        <v>18</v>
      </c>
      <c r="C144" s="2">
        <f t="shared" si="70"/>
        <v>2026</v>
      </c>
      <c r="D144" s="36">
        <f t="shared" si="71"/>
        <v>15.554862385499124</v>
      </c>
      <c r="E144" s="36">
        <f t="shared" si="72"/>
        <v>15.39937614694921</v>
      </c>
      <c r="F144" s="36">
        <f t="shared" si="73"/>
        <v>2.4858944954684752</v>
      </c>
      <c r="G144" s="36">
        <f t="shared" si="74"/>
        <v>2.4373050459216286</v>
      </c>
      <c r="H144" s="37">
        <f t="shared" si="40"/>
        <v>176.82095174008836</v>
      </c>
      <c r="I144" s="37">
        <f t="shared" si="41"/>
        <v>170.1291325881615</v>
      </c>
      <c r="J144" s="37">
        <f t="shared" si="42"/>
        <v>56.08797071883226</v>
      </c>
      <c r="K144" s="37">
        <f t="shared" si="43"/>
        <v>54.8331483401155</v>
      </c>
      <c r="L144" s="37">
        <f t="shared" si="44"/>
        <v>120.73298102125611</v>
      </c>
      <c r="M144" s="37">
        <f t="shared" si="45"/>
        <v>115.295984248046</v>
      </c>
      <c r="N144" s="38">
        <f t="shared" si="46"/>
        <v>308.875</v>
      </c>
      <c r="O144" s="38">
        <f t="shared" si="47"/>
        <v>220.625</v>
      </c>
      <c r="P144" s="16">
        <f t="shared" si="48"/>
        <v>17.324171955779313</v>
      </c>
      <c r="Q144" s="16">
        <f t="shared" si="49"/>
        <v>26.636713937814626</v>
      </c>
      <c r="R144" s="18">
        <f t="shared" si="50"/>
        <v>-6.5941328840390909</v>
      </c>
      <c r="S144" s="38">
        <f t="shared" si="51"/>
        <v>101.92875000000001</v>
      </c>
      <c r="T144" s="38">
        <f t="shared" si="52"/>
        <v>220.625</v>
      </c>
      <c r="U144" s="16">
        <f t="shared" si="53"/>
        <v>5.5890742688725483</v>
      </c>
      <c r="V144" s="16">
        <f t="shared" si="54"/>
        <v>25.437176524725146</v>
      </c>
      <c r="W144" s="18">
        <f t="shared" si="55"/>
        <v>-4.6539376190396542</v>
      </c>
      <c r="X144" s="18">
        <f t="shared" si="56"/>
        <v>19.183091279456576</v>
      </c>
      <c r="Y144" s="18">
        <f t="shared" si="57"/>
        <v>15.928047076520309</v>
      </c>
      <c r="Z144" s="16">
        <f t="shared" si="75"/>
        <v>0.5</v>
      </c>
      <c r="AA144" s="18">
        <f t="shared" si="58"/>
        <v>-7.4999999999999997E-2</v>
      </c>
      <c r="AB144" s="18">
        <f t="shared" si="59"/>
        <v>0.21818362948700235</v>
      </c>
      <c r="AC144" s="18">
        <f t="shared" si="76"/>
        <v>5.5954092628249352</v>
      </c>
      <c r="AD144" s="18">
        <f t="shared" si="60"/>
        <v>-8.2550417932964651E-2</v>
      </c>
      <c r="AE144" s="18">
        <f t="shared" si="77"/>
        <v>-1.8153772881471189</v>
      </c>
      <c r="AF144" s="18">
        <f t="shared" si="61"/>
        <v>-1.9812100303911513E-2</v>
      </c>
      <c r="AG144" s="18">
        <f t="shared" si="79"/>
        <v>-0.43569054915530853</v>
      </c>
      <c r="AH144" s="19">
        <f t="shared" si="62"/>
        <v>3.7200517988804798</v>
      </c>
      <c r="AI144" s="19">
        <f t="shared" si="63"/>
        <v>6.9186622901899426</v>
      </c>
      <c r="AJ144" s="40">
        <f t="shared" si="64"/>
        <v>-12.207995277639831</v>
      </c>
      <c r="AK144" s="40">
        <f t="shared" si="65"/>
        <v>-9.0093847863303687</v>
      </c>
      <c r="AL144" s="40">
        <f t="shared" si="66"/>
        <v>17.367713991309458</v>
      </c>
      <c r="AM144" s="40">
        <f t="shared" si="67"/>
        <v>21.087765790189938</v>
      </c>
      <c r="AN144" s="40">
        <f t="shared" si="78"/>
        <v>14.169103499999995</v>
      </c>
      <c r="AO144" s="40">
        <f t="shared" si="68"/>
        <v>5.1597187136696263</v>
      </c>
      <c r="AP144" s="17">
        <f t="shared" si="69"/>
        <v>0.43636725897400469</v>
      </c>
    </row>
    <row r="145" spans="2:42" x14ac:dyDescent="0.2">
      <c r="B145" s="2">
        <v>19</v>
      </c>
      <c r="C145" s="2">
        <f t="shared" si="70"/>
        <v>2027</v>
      </c>
      <c r="D145" s="36">
        <f t="shared" si="71"/>
        <v>15.638313761644133</v>
      </c>
      <c r="E145" s="36">
        <f t="shared" si="72"/>
        <v>15.474482385479718</v>
      </c>
      <c r="F145" s="36">
        <f t="shared" si="73"/>
        <v>2.5119730505137903</v>
      </c>
      <c r="G145" s="36">
        <f t="shared" si="74"/>
        <v>2.4607757454624122</v>
      </c>
      <c r="H145" s="37">
        <f t="shared" si="40"/>
        <v>180.47859963836737</v>
      </c>
      <c r="I145" s="37">
        <f t="shared" si="41"/>
        <v>173.34161859986779</v>
      </c>
      <c r="J145" s="37">
        <f t="shared" si="42"/>
        <v>56.766099001682839</v>
      </c>
      <c r="K145" s="37">
        <f t="shared" si="43"/>
        <v>55.437871318345849</v>
      </c>
      <c r="L145" s="37">
        <f t="shared" si="44"/>
        <v>123.71250063668452</v>
      </c>
      <c r="M145" s="37">
        <f t="shared" si="45"/>
        <v>117.90374728152193</v>
      </c>
      <c r="N145" s="38">
        <f t="shared" si="46"/>
        <v>316.75</v>
      </c>
      <c r="O145" s="38">
        <f t="shared" si="47"/>
        <v>226.25</v>
      </c>
      <c r="P145" s="16">
        <f t="shared" si="48"/>
        <v>17.980661858783037</v>
      </c>
      <c r="Q145" s="16">
        <f t="shared" si="49"/>
        <v>27.989953269049874</v>
      </c>
      <c r="R145" s="18">
        <f t="shared" si="50"/>
        <v>-6.8955922691749372</v>
      </c>
      <c r="S145" s="38">
        <f t="shared" si="51"/>
        <v>104.5275</v>
      </c>
      <c r="T145" s="38">
        <f t="shared" si="52"/>
        <v>226.25</v>
      </c>
      <c r="U145" s="16">
        <f t="shared" si="53"/>
        <v>5.7947820942283963</v>
      </c>
      <c r="V145" s="16">
        <f t="shared" si="54"/>
        <v>26.675722822444339</v>
      </c>
      <c r="W145" s="18">
        <f t="shared" si="55"/>
        <v>-4.8705757375009107</v>
      </c>
      <c r="X145" s="18">
        <f t="shared" si="56"/>
        <v>19.288530112193616</v>
      </c>
      <c r="Y145" s="18">
        <f t="shared" si="57"/>
        <v>16.028354330305909</v>
      </c>
      <c r="Z145" s="16">
        <f t="shared" si="75"/>
        <v>0.5</v>
      </c>
      <c r="AA145" s="18">
        <f t="shared" si="58"/>
        <v>-7.4999999999999997E-2</v>
      </c>
      <c r="AB145" s="18">
        <f t="shared" si="59"/>
        <v>0.20979195142980991</v>
      </c>
      <c r="AC145" s="18">
        <f t="shared" si="76"/>
        <v>5.8052012142547449</v>
      </c>
      <c r="AD145" s="18">
        <f t="shared" si="60"/>
        <v>-8.0560109349047004E-2</v>
      </c>
      <c r="AE145" s="18">
        <f t="shared" si="77"/>
        <v>-1.8959373974961657</v>
      </c>
      <c r="AF145" s="18">
        <f t="shared" si="61"/>
        <v>-1.9334426243771279E-2</v>
      </c>
      <c r="AG145" s="18">
        <f t="shared" si="79"/>
        <v>-0.45502497539907982</v>
      </c>
      <c r="AH145" s="19">
        <f t="shared" si="62"/>
        <v>3.9859378544641224</v>
      </c>
      <c r="AI145" s="19">
        <f t="shared" si="63"/>
        <v>7.2094270691615776</v>
      </c>
      <c r="AJ145" s="40">
        <f t="shared" si="64"/>
        <v>-12.042416475841785</v>
      </c>
      <c r="AK145" s="40">
        <f t="shared" si="65"/>
        <v>-8.8189272611443297</v>
      </c>
      <c r="AL145" s="40">
        <f t="shared" si="66"/>
        <v>17.39259271469745</v>
      </c>
      <c r="AM145" s="40">
        <f t="shared" si="67"/>
        <v>21.378530569161573</v>
      </c>
      <c r="AN145" s="40">
        <f t="shared" si="78"/>
        <v>14.169103499999995</v>
      </c>
      <c r="AO145" s="40">
        <f t="shared" si="68"/>
        <v>5.3501762388556653</v>
      </c>
      <c r="AP145" s="17">
        <f t="shared" si="69"/>
        <v>0.41958390285961983</v>
      </c>
    </row>
    <row r="146" spans="2:42" x14ac:dyDescent="0.2">
      <c r="B146" s="2">
        <v>20</v>
      </c>
      <c r="C146" s="2">
        <f t="shared" si="70"/>
        <v>2028</v>
      </c>
      <c r="D146" s="36">
        <f t="shared" si="71"/>
        <v>15.720930624027691</v>
      </c>
      <c r="E146" s="36">
        <f t="shared" si="72"/>
        <v>15.54883756162492</v>
      </c>
      <c r="F146" s="36">
        <f t="shared" si="73"/>
        <v>2.5377908200086523</v>
      </c>
      <c r="G146" s="36">
        <f t="shared" si="74"/>
        <v>2.484011738007788</v>
      </c>
      <c r="H146" s="37">
        <f t="shared" si="40"/>
        <v>184.1454180760071</v>
      </c>
      <c r="I146" s="37">
        <f t="shared" si="41"/>
        <v>176.55867700637518</v>
      </c>
      <c r="J146" s="37">
        <f t="shared" si="42"/>
        <v>57.440645342788258</v>
      </c>
      <c r="K146" s="37">
        <f t="shared" si="43"/>
        <v>56.039138533071416</v>
      </c>
      <c r="L146" s="37">
        <f t="shared" si="44"/>
        <v>126.70477273321885</v>
      </c>
      <c r="M146" s="37">
        <f t="shared" si="45"/>
        <v>120.51953847330375</v>
      </c>
      <c r="N146" s="38">
        <f t="shared" si="46"/>
        <v>324.625</v>
      </c>
      <c r="O146" s="38">
        <f t="shared" si="47"/>
        <v>231.875</v>
      </c>
      <c r="P146" s="16">
        <f t="shared" si="48"/>
        <v>18.646669494402637</v>
      </c>
      <c r="Q146" s="16">
        <f t="shared" si="49"/>
        <v>29.379669177515119</v>
      </c>
      <c r="R146" s="18">
        <f t="shared" si="50"/>
        <v>-7.2039508007876627</v>
      </c>
      <c r="S146" s="38">
        <f t="shared" si="51"/>
        <v>107.12625</v>
      </c>
      <c r="T146" s="38">
        <f t="shared" si="52"/>
        <v>231.875</v>
      </c>
      <c r="U146" s="16">
        <f t="shared" si="53"/>
        <v>6.0032627642784417</v>
      </c>
      <c r="V146" s="16">
        <f t="shared" si="54"/>
        <v>27.945467983497309</v>
      </c>
      <c r="W146" s="18">
        <f t="shared" si="55"/>
        <v>-5.0923096121663622</v>
      </c>
      <c r="X146" s="18">
        <f t="shared" si="56"/>
        <v>19.376037134635716</v>
      </c>
      <c r="Y146" s="18">
        <f t="shared" si="57"/>
        <v>16.113507855522773</v>
      </c>
      <c r="Z146" s="16">
        <f t="shared" si="75"/>
        <v>0.5</v>
      </c>
      <c r="AA146" s="18">
        <f t="shared" si="58"/>
        <v>-7.4999999999999997E-2</v>
      </c>
      <c r="AB146" s="18">
        <f t="shared" si="59"/>
        <v>0.2017230302209711</v>
      </c>
      <c r="AC146" s="18">
        <f t="shared" si="76"/>
        <v>6.0069242444757158</v>
      </c>
      <c r="AD146" s="18">
        <f t="shared" si="60"/>
        <v>-7.8600785422571318E-2</v>
      </c>
      <c r="AE146" s="18">
        <f t="shared" si="77"/>
        <v>-1.974538182918737</v>
      </c>
      <c r="AF146" s="18">
        <f t="shared" si="61"/>
        <v>-1.8864188501417117E-2</v>
      </c>
      <c r="AG146" s="18">
        <f t="shared" si="79"/>
        <v>-0.47388916390049696</v>
      </c>
      <c r="AH146" s="19">
        <f t="shared" si="62"/>
        <v>4.2450439843810095</v>
      </c>
      <c r="AI146" s="19">
        <f t="shared" si="63"/>
        <v>7.4774394360979954</v>
      </c>
      <c r="AJ146" s="40">
        <f t="shared" si="64"/>
        <v>-11.868463871141762</v>
      </c>
      <c r="AK146" s="40">
        <f t="shared" si="65"/>
        <v>-8.6360684194247757</v>
      </c>
      <c r="AL146" s="40">
        <f t="shared" si="66"/>
        <v>17.401498951716981</v>
      </c>
      <c r="AM146" s="40">
        <f t="shared" si="67"/>
        <v>21.64654293609799</v>
      </c>
      <c r="AN146" s="40">
        <f t="shared" si="78"/>
        <v>14.169103499999995</v>
      </c>
      <c r="AO146" s="40">
        <f t="shared" si="68"/>
        <v>5.5330350805752193</v>
      </c>
      <c r="AP146" s="17">
        <f t="shared" si="69"/>
        <v>0.4034460604419422</v>
      </c>
    </row>
    <row r="147" spans="2:42" x14ac:dyDescent="0.2">
      <c r="B147" s="2">
        <v>21</v>
      </c>
      <c r="C147" s="2">
        <f t="shared" si="70"/>
        <v>2029</v>
      </c>
      <c r="D147" s="36">
        <f t="shared" si="71"/>
        <v>15.802721317787414</v>
      </c>
      <c r="E147" s="36">
        <f t="shared" si="72"/>
        <v>15.622449186008671</v>
      </c>
      <c r="F147" s="36">
        <f t="shared" si="73"/>
        <v>2.5633504118085657</v>
      </c>
      <c r="G147" s="36">
        <f t="shared" si="74"/>
        <v>2.5070153706277103</v>
      </c>
      <c r="H147" s="37">
        <f t="shared" si="40"/>
        <v>187.82062012346222</v>
      </c>
      <c r="I147" s="37">
        <f t="shared" si="41"/>
        <v>179.77969188982058</v>
      </c>
      <c r="J147" s="37">
        <f t="shared" si="42"/>
        <v>58.11158189467843</v>
      </c>
      <c r="K147" s="37">
        <f t="shared" si="43"/>
        <v>56.636932971748323</v>
      </c>
      <c r="L147" s="37">
        <f t="shared" si="44"/>
        <v>129.70903822878378</v>
      </c>
      <c r="M147" s="37">
        <f t="shared" si="45"/>
        <v>123.14275891807226</v>
      </c>
      <c r="N147" s="38">
        <f t="shared" si="46"/>
        <v>332.5</v>
      </c>
      <c r="O147" s="38">
        <f t="shared" si="47"/>
        <v>237.5</v>
      </c>
      <c r="P147" s="16">
        <f t="shared" si="48"/>
        <v>19.322100979980579</v>
      </c>
      <c r="Q147" s="16">
        <f t="shared" si="49"/>
        <v>30.805896579336146</v>
      </c>
      <c r="R147" s="18">
        <f t="shared" si="50"/>
        <v>-7.5191996338975082</v>
      </c>
      <c r="S147" s="38">
        <f t="shared" si="51"/>
        <v>109.72499999999999</v>
      </c>
      <c r="T147" s="38">
        <f t="shared" si="52"/>
        <v>237.5</v>
      </c>
      <c r="U147" s="16">
        <f t="shared" si="53"/>
        <v>6.2144874703250839</v>
      </c>
      <c r="V147" s="16">
        <f t="shared" si="54"/>
        <v>29.246405243042162</v>
      </c>
      <c r="W147" s="18">
        <f t="shared" si="55"/>
        <v>-5.319133907005086</v>
      </c>
      <c r="X147" s="18">
        <f t="shared" si="56"/>
        <v>19.446099166490026</v>
      </c>
      <c r="Y147" s="18">
        <f t="shared" si="57"/>
        <v>16.183888535025325</v>
      </c>
      <c r="Z147" s="16">
        <f t="shared" si="75"/>
        <v>0.5</v>
      </c>
      <c r="AA147" s="18">
        <f t="shared" si="58"/>
        <v>-7.4999999999999997E-2</v>
      </c>
      <c r="AB147" s="18">
        <f t="shared" si="59"/>
        <v>0.19396445213554911</v>
      </c>
      <c r="AC147" s="18">
        <f t="shared" si="76"/>
        <v>6.2008886966112646</v>
      </c>
      <c r="AD147" s="18">
        <f t="shared" si="60"/>
        <v>-7.6673006961817058E-2</v>
      </c>
      <c r="AE147" s="18">
        <f t="shared" si="77"/>
        <v>-2.0512111898805538</v>
      </c>
      <c r="AF147" s="18">
        <f t="shared" si="61"/>
        <v>-1.8401521670836092E-2</v>
      </c>
      <c r="AG147" s="18">
        <f t="shared" si="79"/>
        <v>-0.49229068557133304</v>
      </c>
      <c r="AH147" s="19">
        <f t="shared" si="62"/>
        <v>4.4975985694557856</v>
      </c>
      <c r="AI147" s="19">
        <f t="shared" si="63"/>
        <v>7.7233830460652619</v>
      </c>
      <c r="AJ147" s="40">
        <f t="shared" si="64"/>
        <v>-11.686289965569539</v>
      </c>
      <c r="AK147" s="40">
        <f t="shared" si="65"/>
        <v>-8.460505488960063</v>
      </c>
      <c r="AL147" s="40">
        <f t="shared" si="66"/>
        <v>17.394887976609471</v>
      </c>
      <c r="AM147" s="40">
        <f t="shared" si="67"/>
        <v>21.892486546065257</v>
      </c>
      <c r="AN147" s="40">
        <f t="shared" si="78"/>
        <v>14.169103499999995</v>
      </c>
      <c r="AO147" s="40">
        <f t="shared" si="68"/>
        <v>5.7085980110399319</v>
      </c>
      <c r="AP147" s="17">
        <f t="shared" si="69"/>
        <v>0.38792890427109827</v>
      </c>
    </row>
    <row r="148" spans="2:42" x14ac:dyDescent="0.2">
      <c r="B148" s="2">
        <v>22</v>
      </c>
      <c r="C148" s="2">
        <f t="shared" si="70"/>
        <v>2030</v>
      </c>
      <c r="D148" s="36">
        <f t="shared" si="71"/>
        <v>15.883694104609541</v>
      </c>
      <c r="E148" s="36">
        <f t="shared" si="72"/>
        <v>15.695324694148585</v>
      </c>
      <c r="F148" s="36">
        <f t="shared" si="73"/>
        <v>2.5886544076904801</v>
      </c>
      <c r="G148" s="36">
        <f t="shared" si="74"/>
        <v>2.5297889669214331</v>
      </c>
      <c r="H148" s="37">
        <f t="shared" si="40"/>
        <v>191.50343205216279</v>
      </c>
      <c r="I148" s="37">
        <f t="shared" si="41"/>
        <v>183.00405869722263</v>
      </c>
      <c r="J148" s="37">
        <f t="shared" si="42"/>
        <v>58.778882355328989</v>
      </c>
      <c r="K148" s="37">
        <f t="shared" si="43"/>
        <v>57.231238818204694</v>
      </c>
      <c r="L148" s="37">
        <f t="shared" si="44"/>
        <v>132.7245496968338</v>
      </c>
      <c r="M148" s="37">
        <f t="shared" si="45"/>
        <v>125.77281987901793</v>
      </c>
      <c r="N148" s="38">
        <f t="shared" si="46"/>
        <v>340.375</v>
      </c>
      <c r="O148" s="38">
        <f t="shared" si="47"/>
        <v>243.125</v>
      </c>
      <c r="P148" s="16">
        <f t="shared" si="48"/>
        <v>20.006862081695104</v>
      </c>
      <c r="Q148" s="16">
        <f t="shared" si="49"/>
        <v>32.268656145042719</v>
      </c>
      <c r="R148" s="18">
        <f t="shared" si="50"/>
        <v>-7.8413277340106733</v>
      </c>
      <c r="S148" s="38">
        <f t="shared" si="51"/>
        <v>112.32374999999999</v>
      </c>
      <c r="T148" s="38">
        <f t="shared" si="52"/>
        <v>243.125</v>
      </c>
      <c r="U148" s="16">
        <f t="shared" si="53"/>
        <v>6.4284273612063192</v>
      </c>
      <c r="V148" s="16">
        <f t="shared" si="54"/>
        <v>30.578516833086237</v>
      </c>
      <c r="W148" s="18">
        <f t="shared" si="55"/>
        <v>-5.5510416291438833</v>
      </c>
      <c r="X148" s="18">
        <f t="shared" si="56"/>
        <v>19.499215871059828</v>
      </c>
      <c r="Y148" s="18">
        <f t="shared" si="57"/>
        <v>16.239890624110394</v>
      </c>
      <c r="Z148" s="16">
        <f t="shared" si="75"/>
        <v>0.5</v>
      </c>
      <c r="AA148" s="18">
        <f t="shared" si="58"/>
        <v>-7.4999999999999997E-2</v>
      </c>
      <c r="AB148" s="18">
        <f t="shared" si="59"/>
        <v>0.18650428089956642</v>
      </c>
      <c r="AC148" s="18">
        <f t="shared" si="76"/>
        <v>6.3873929775108307</v>
      </c>
      <c r="AD148" s="18">
        <f t="shared" si="60"/>
        <v>-7.4777245800673214E-2</v>
      </c>
      <c r="AE148" s="18">
        <f t="shared" si="77"/>
        <v>-2.1259884356812271</v>
      </c>
      <c r="AF148" s="18">
        <f t="shared" si="61"/>
        <v>-1.794653899216157E-2</v>
      </c>
      <c r="AG148" s="18">
        <f t="shared" si="79"/>
        <v>-0.51023722456349463</v>
      </c>
      <c r="AH148" s="19">
        <f t="shared" si="62"/>
        <v>4.7438189416791303</v>
      </c>
      <c r="AI148" s="19">
        <f t="shared" si="63"/>
        <v>7.9479428770577378</v>
      </c>
      <c r="AJ148" s="40">
        <f t="shared" si="64"/>
        <v>-11.496071682431268</v>
      </c>
      <c r="AK148" s="40">
        <f t="shared" si="65"/>
        <v>-8.2919477470526601</v>
      </c>
      <c r="AL148" s="40">
        <f t="shared" si="66"/>
        <v>17.373227435378602</v>
      </c>
      <c r="AM148" s="40">
        <f t="shared" si="67"/>
        <v>22.117046377057733</v>
      </c>
      <c r="AN148" s="40">
        <f t="shared" si="78"/>
        <v>14.169103499999995</v>
      </c>
      <c r="AO148" s="40">
        <f t="shared" si="68"/>
        <v>5.8771557529473357</v>
      </c>
      <c r="AP148" s="17">
        <f t="shared" si="69"/>
        <v>0.37300856179913278</v>
      </c>
    </row>
    <row r="149" spans="2:42" x14ac:dyDescent="0.2">
      <c r="B149" s="2">
        <v>23</v>
      </c>
      <c r="C149" s="2">
        <f t="shared" si="70"/>
        <v>2031</v>
      </c>
      <c r="D149" s="36">
        <f t="shared" si="71"/>
        <v>15.963857163563445</v>
      </c>
      <c r="E149" s="36">
        <f t="shared" si="72"/>
        <v>15.767471447207098</v>
      </c>
      <c r="F149" s="36">
        <f t="shared" si="73"/>
        <v>2.6137053636135752</v>
      </c>
      <c r="G149" s="36">
        <f t="shared" si="74"/>
        <v>2.5523348272522188</v>
      </c>
      <c r="H149" s="37">
        <f t="shared" si="40"/>
        <v>195.19309343223532</v>
      </c>
      <c r="I149" s="37">
        <f t="shared" si="41"/>
        <v>186.23118426027355</v>
      </c>
      <c r="J149" s="37">
        <f t="shared" si="42"/>
        <v>59.442521927494177</v>
      </c>
      <c r="K149" s="37">
        <f t="shared" si="43"/>
        <v>57.822041420254607</v>
      </c>
      <c r="L149" s="37">
        <f t="shared" si="44"/>
        <v>135.75057150474115</v>
      </c>
      <c r="M149" s="37">
        <f t="shared" si="45"/>
        <v>128.40914284001894</v>
      </c>
      <c r="N149" s="38">
        <f t="shared" si="46"/>
        <v>348.25</v>
      </c>
      <c r="O149" s="38">
        <f t="shared" si="47"/>
        <v>248.75</v>
      </c>
      <c r="P149" s="16">
        <f t="shared" si="48"/>
        <v>20.700858261249849</v>
      </c>
      <c r="Q149" s="16">
        <f t="shared" si="49"/>
        <v>33.76795466180436</v>
      </c>
      <c r="R149" s="18">
        <f t="shared" si="50"/>
        <v>-8.1703219384581303</v>
      </c>
      <c r="S149" s="38">
        <f t="shared" si="51"/>
        <v>114.9225</v>
      </c>
      <c r="T149" s="38">
        <f t="shared" si="52"/>
        <v>248.75</v>
      </c>
      <c r="U149" s="16">
        <f t="shared" si="53"/>
        <v>6.64505355511921</v>
      </c>
      <c r="V149" s="16">
        <f t="shared" si="54"/>
        <v>31.941774281454713</v>
      </c>
      <c r="W149" s="18">
        <f t="shared" si="55"/>
        <v>-5.7880241754860888</v>
      </c>
      <c r="X149" s="18">
        <f t="shared" si="56"/>
        <v>19.535897664744684</v>
      </c>
      <c r="Y149" s="18">
        <f t="shared" si="57"/>
        <v>16.281919859401793</v>
      </c>
      <c r="Z149" s="16">
        <f t="shared" si="75"/>
        <v>0.5</v>
      </c>
      <c r="AA149" s="18">
        <f t="shared" si="58"/>
        <v>-7.4999999999999997E-2</v>
      </c>
      <c r="AB149" s="18">
        <f t="shared" si="59"/>
        <v>0.17933103932650618</v>
      </c>
      <c r="AC149" s="18">
        <f t="shared" si="76"/>
        <v>6.5667240168373366</v>
      </c>
      <c r="AD149" s="18">
        <f t="shared" si="60"/>
        <v>-7.291389081322415E-2</v>
      </c>
      <c r="AE149" s="18">
        <f t="shared" si="77"/>
        <v>-2.1989023264944514</v>
      </c>
      <c r="AF149" s="18">
        <f t="shared" si="61"/>
        <v>-1.7499333795173797E-2</v>
      </c>
      <c r="AG149" s="18">
        <f t="shared" si="79"/>
        <v>-0.5277365583586684</v>
      </c>
      <c r="AH149" s="19">
        <f t="shared" si="62"/>
        <v>4.9839119796302285</v>
      </c>
      <c r="AI149" s="19">
        <f t="shared" si="63"/>
        <v>8.1518038178804666</v>
      </c>
      <c r="AJ149" s="40">
        <f t="shared" si="64"/>
        <v>-11.298007879771564</v>
      </c>
      <c r="AK149" s="40">
        <f t="shared" si="65"/>
        <v>-8.1301160415213261</v>
      </c>
      <c r="AL149" s="40">
        <f t="shared" si="66"/>
        <v>17.336995338250233</v>
      </c>
      <c r="AM149" s="40">
        <f t="shared" si="67"/>
        <v>22.320907317880462</v>
      </c>
      <c r="AN149" s="40">
        <f t="shared" si="78"/>
        <v>14.169103499999995</v>
      </c>
      <c r="AO149" s="40">
        <f t="shared" si="68"/>
        <v>6.038987458478668</v>
      </c>
      <c r="AP149" s="17">
        <f t="shared" si="69"/>
        <v>0.35866207865301236</v>
      </c>
    </row>
    <row r="150" spans="2:42" x14ac:dyDescent="0.2">
      <c r="B150" s="2">
        <v>24</v>
      </c>
      <c r="C150" s="2">
        <f t="shared" si="70"/>
        <v>2032</v>
      </c>
      <c r="D150" s="36">
        <f t="shared" si="71"/>
        <v>16.043218591927811</v>
      </c>
      <c r="E150" s="36">
        <f t="shared" si="72"/>
        <v>15.838896732735028</v>
      </c>
      <c r="F150" s="36">
        <f t="shared" si="73"/>
        <v>2.6385058099774392</v>
      </c>
      <c r="G150" s="36">
        <f t="shared" si="74"/>
        <v>2.5746552289796965</v>
      </c>
      <c r="H150" s="37">
        <f t="shared" si="40"/>
        <v>198.88885721141827</v>
      </c>
      <c r="I150" s="37">
        <f t="shared" si="41"/>
        <v>189.46048680308587</v>
      </c>
      <c r="J150" s="37">
        <f t="shared" si="42"/>
        <v>60.102477278948058</v>
      </c>
      <c r="K150" s="37">
        <f t="shared" si="43"/>
        <v>58.409327258042403</v>
      </c>
      <c r="L150" s="37">
        <f t="shared" si="44"/>
        <v>138.7863799324702</v>
      </c>
      <c r="M150" s="37">
        <f t="shared" si="45"/>
        <v>131.05115954504348</v>
      </c>
      <c r="N150" s="38">
        <f t="shared" si="46"/>
        <v>406.125</v>
      </c>
      <c r="O150" s="38">
        <f t="shared" si="47"/>
        <v>304.375</v>
      </c>
      <c r="P150" s="16">
        <f t="shared" si="48"/>
        <v>24.409118584912783</v>
      </c>
      <c r="Q150" s="16">
        <f t="shared" si="49"/>
        <v>42.243104391945614</v>
      </c>
      <c r="R150" s="18">
        <f t="shared" si="50"/>
        <v>-9.9978334465287588</v>
      </c>
      <c r="S150" s="38">
        <f t="shared" si="51"/>
        <v>117.52124999999999</v>
      </c>
      <c r="T150" s="38">
        <f t="shared" si="52"/>
        <v>254.375</v>
      </c>
      <c r="U150" s="16">
        <f t="shared" si="53"/>
        <v>6.8643371510242153</v>
      </c>
      <c r="V150" s="16">
        <f t="shared" si="54"/>
        <v>33.336138709270436</v>
      </c>
      <c r="W150" s="18">
        <f t="shared" si="55"/>
        <v>-6.0300713790441973</v>
      </c>
      <c r="X150" s="18">
        <f t="shared" si="56"/>
        <v>22.98617773050395</v>
      </c>
      <c r="Y150" s="18">
        <f t="shared" si="57"/>
        <v>16.310391668431592</v>
      </c>
      <c r="Z150" s="16">
        <f t="shared" si="75"/>
        <v>0.5</v>
      </c>
      <c r="AA150" s="18">
        <f t="shared" si="58"/>
        <v>-7.4999999999999997E-2</v>
      </c>
      <c r="AB150" s="18">
        <f t="shared" si="59"/>
        <v>0.17243369166010211</v>
      </c>
      <c r="AC150" s="18">
        <f t="shared" si="76"/>
        <v>6.739157708497439</v>
      </c>
      <c r="AD150" s="18">
        <f t="shared" si="60"/>
        <v>-7.1083253597293852E-2</v>
      </c>
      <c r="AE150" s="18">
        <f t="shared" si="77"/>
        <v>-2.2699855800917454</v>
      </c>
      <c r="AF150" s="18">
        <f t="shared" si="61"/>
        <v>-1.7059980863350525E-2</v>
      </c>
      <c r="AG150" s="18">
        <f t="shared" si="79"/>
        <v>-0.54479653922201887</v>
      </c>
      <c r="AH150" s="19">
        <f t="shared" si="62"/>
        <v>1.7885606872948046</v>
      </c>
      <c r="AI150" s="19">
        <f t="shared" si="63"/>
        <v>8.3356493377070144</v>
      </c>
      <c r="AJ150" s="40">
        <f t="shared" si="64"/>
        <v>-14.521830981136784</v>
      </c>
      <c r="AK150" s="40">
        <f t="shared" si="65"/>
        <v>-7.9747423307245748</v>
      </c>
      <c r="AL150" s="40">
        <f t="shared" si="66"/>
        <v>20.716192150412205</v>
      </c>
      <c r="AM150" s="40">
        <f t="shared" si="67"/>
        <v>22.504752837707009</v>
      </c>
      <c r="AN150" s="40">
        <f t="shared" si="78"/>
        <v>14.169103499999995</v>
      </c>
      <c r="AO150" s="40">
        <f t="shared" si="68"/>
        <v>6.1943611692754201</v>
      </c>
      <c r="AP150" s="17">
        <f t="shared" si="69"/>
        <v>0.34486738332020428</v>
      </c>
    </row>
    <row r="151" spans="2:42" x14ac:dyDescent="0.2">
      <c r="B151" s="2">
        <v>25</v>
      </c>
      <c r="C151" s="2">
        <f t="shared" si="70"/>
        <v>2033</v>
      </c>
      <c r="D151" s="36">
        <f t="shared" si="71"/>
        <v>16.121786406008532</v>
      </c>
      <c r="E151" s="36">
        <f t="shared" si="72"/>
        <v>15.909607765407678</v>
      </c>
      <c r="F151" s="36">
        <f t="shared" si="73"/>
        <v>2.6630582518776649</v>
      </c>
      <c r="G151" s="36">
        <f t="shared" si="74"/>
        <v>2.5967524266898994</v>
      </c>
      <c r="H151" s="37">
        <f t="shared" si="40"/>
        <v>202.58998977623918</v>
      </c>
      <c r="I151" s="37">
        <f t="shared" si="41"/>
        <v>192.69139593860643</v>
      </c>
      <c r="J151" s="37">
        <f t="shared" si="42"/>
        <v>60.758726503614987</v>
      </c>
      <c r="K151" s="37">
        <f t="shared" si="43"/>
        <v>58.993083913101692</v>
      </c>
      <c r="L151" s="37">
        <f t="shared" si="44"/>
        <v>141.8312632726242</v>
      </c>
      <c r="M151" s="37">
        <f t="shared" si="45"/>
        <v>133.69831202550475</v>
      </c>
      <c r="N151" s="38">
        <f t="shared" si="46"/>
        <v>414</v>
      </c>
      <c r="O151" s="38">
        <f t="shared" si="47"/>
        <v>310</v>
      </c>
      <c r="P151" s="16">
        <f t="shared" si="48"/>
        <v>25.154112772496603</v>
      </c>
      <c r="Q151" s="16">
        <f t="shared" si="49"/>
        <v>43.967691614513498</v>
      </c>
      <c r="R151" s="18">
        <f t="shared" si="50"/>
        <v>-10.368270658051514</v>
      </c>
      <c r="S151" s="38">
        <f t="shared" si="51"/>
        <v>120.12</v>
      </c>
      <c r="T151" s="38">
        <f t="shared" si="52"/>
        <v>260</v>
      </c>
      <c r="U151" s="16">
        <f t="shared" si="53"/>
        <v>7.0862492396417753</v>
      </c>
      <c r="V151" s="16">
        <f t="shared" si="54"/>
        <v>34.761561126631236</v>
      </c>
      <c r="W151" s="18">
        <f t="shared" si="55"/>
        <v>-6.277171554940951</v>
      </c>
      <c r="X151" s="18">
        <f t="shared" si="56"/>
        <v>22.921015201268446</v>
      </c>
      <c r="Y151" s="18">
        <f t="shared" si="57"/>
        <v>16.325729478163677</v>
      </c>
      <c r="Z151" s="16">
        <f t="shared" si="75"/>
        <v>0.5</v>
      </c>
      <c r="AA151" s="18">
        <f t="shared" si="58"/>
        <v>-7.4999999999999997E-2</v>
      </c>
      <c r="AB151" s="18">
        <f t="shared" si="59"/>
        <v>0.16580162659625203</v>
      </c>
      <c r="AC151" s="18">
        <f t="shared" si="76"/>
        <v>6.9049593350936913</v>
      </c>
      <c r="AD151" s="18">
        <f t="shared" si="60"/>
        <v>-6.9285573843516135E-2</v>
      </c>
      <c r="AE151" s="18">
        <f t="shared" si="77"/>
        <v>-2.3392711539352615</v>
      </c>
      <c r="AF151" s="18">
        <f t="shared" si="61"/>
        <v>-1.6628537722443871E-2</v>
      </c>
      <c r="AG151" s="18">
        <f t="shared" si="79"/>
        <v>-0.56142507694446275</v>
      </c>
      <c r="AH151" s="19">
        <f t="shared" si="62"/>
        <v>2.0875196889797181</v>
      </c>
      <c r="AI151" s="19">
        <f t="shared" si="63"/>
        <v>8.5001602363129081</v>
      </c>
      <c r="AJ151" s="40">
        <f t="shared" si="64"/>
        <v>-14.238209789183957</v>
      </c>
      <c r="AK151" s="40">
        <f t="shared" si="65"/>
        <v>-7.8255692418507667</v>
      </c>
      <c r="AL151" s="40">
        <f t="shared" si="66"/>
        <v>20.581744047333185</v>
      </c>
      <c r="AM151" s="40">
        <f t="shared" si="67"/>
        <v>22.669263736312903</v>
      </c>
      <c r="AN151" s="40">
        <f t="shared" si="78"/>
        <v>14.169103499999995</v>
      </c>
      <c r="AO151" s="40">
        <f t="shared" si="68"/>
        <v>6.3435342581492282</v>
      </c>
      <c r="AP151" s="17">
        <f t="shared" si="69"/>
        <v>0.331603253192504</v>
      </c>
    </row>
    <row r="152" spans="2:42" x14ac:dyDescent="0.2">
      <c r="B152" s="2">
        <v>26</v>
      </c>
      <c r="C152" s="2">
        <f t="shared" si="70"/>
        <v>2034</v>
      </c>
      <c r="D152" s="36">
        <f t="shared" si="71"/>
        <v>16.199568541948448</v>
      </c>
      <c r="E152" s="36">
        <f t="shared" si="72"/>
        <v>15.979611687753602</v>
      </c>
      <c r="F152" s="36">
        <f t="shared" si="73"/>
        <v>2.687365169358888</v>
      </c>
      <c r="G152" s="36">
        <f t="shared" si="74"/>
        <v>2.6186286524230002</v>
      </c>
      <c r="H152" s="37">
        <f t="shared" si="40"/>
        <v>206.29577099647048</v>
      </c>
      <c r="I152" s="37">
        <f t="shared" si="41"/>
        <v>195.92335265437927</v>
      </c>
      <c r="J152" s="37">
        <f t="shared" si="42"/>
        <v>61.411249083571022</v>
      </c>
      <c r="K152" s="37">
        <f t="shared" si="43"/>
        <v>59.57330003811434</v>
      </c>
      <c r="L152" s="37">
        <f t="shared" si="44"/>
        <v>144.88452191289946</v>
      </c>
      <c r="M152" s="37">
        <f t="shared" si="45"/>
        <v>136.35005261626492</v>
      </c>
      <c r="N152" s="38">
        <f t="shared" si="46"/>
        <v>421.875</v>
      </c>
      <c r="O152" s="38">
        <f t="shared" si="47"/>
        <v>315.625</v>
      </c>
      <c r="P152" s="16">
        <f t="shared" si="48"/>
        <v>25.907870707131526</v>
      </c>
      <c r="Q152" s="16">
        <f t="shared" si="49"/>
        <v>45.729177228758893</v>
      </c>
      <c r="R152" s="18">
        <f t="shared" si="50"/>
        <v>-10.745557190383563</v>
      </c>
      <c r="S152" s="38">
        <f t="shared" si="51"/>
        <v>122.71875</v>
      </c>
      <c r="T152" s="38">
        <f t="shared" si="52"/>
        <v>265.625</v>
      </c>
      <c r="U152" s="16">
        <f t="shared" si="53"/>
        <v>7.3107609140523442</v>
      </c>
      <c r="V152" s="16">
        <f t="shared" si="54"/>
        <v>36.217982726195366</v>
      </c>
      <c r="W152" s="18">
        <f t="shared" si="55"/>
        <v>-6.5293115460371567</v>
      </c>
      <c r="X152" s="18">
        <f t="shared" si="56"/>
        <v>22.841421292931361</v>
      </c>
      <c r="Y152" s="18">
        <f t="shared" si="57"/>
        <v>16.328363120462285</v>
      </c>
      <c r="Z152" s="16">
        <f t="shared" si="75"/>
        <v>0.5</v>
      </c>
      <c r="AA152" s="18">
        <f t="shared" si="58"/>
        <v>-7.4999999999999997E-2</v>
      </c>
      <c r="AB152" s="18">
        <f t="shared" si="59"/>
        <v>0.1594246409579346</v>
      </c>
      <c r="AC152" s="18">
        <f t="shared" si="76"/>
        <v>7.0643839760516256</v>
      </c>
      <c r="AD152" s="18">
        <f t="shared" si="60"/>
        <v>-6.7521024405713476E-2</v>
      </c>
      <c r="AE152" s="18">
        <f t="shared" si="77"/>
        <v>-2.4067921783409751</v>
      </c>
      <c r="AF152" s="18">
        <f t="shared" si="61"/>
        <v>-1.6205045857371234E-2</v>
      </c>
      <c r="AG152" s="18">
        <f t="shared" si="79"/>
        <v>-0.57763012280183401</v>
      </c>
      <c r="AH152" s="19">
        <f t="shared" si="62"/>
        <v>2.3804878591216898</v>
      </c>
      <c r="AI152" s="19">
        <f t="shared" si="63"/>
        <v>8.6460134737120811</v>
      </c>
      <c r="AJ152" s="40">
        <f t="shared" si="64"/>
        <v>-13.947875261340595</v>
      </c>
      <c r="AK152" s="40">
        <f t="shared" si="65"/>
        <v>-7.682349646750203</v>
      </c>
      <c r="AL152" s="40">
        <f t="shared" si="66"/>
        <v>20.434629114590386</v>
      </c>
      <c r="AM152" s="40">
        <f t="shared" si="67"/>
        <v>22.815116973712076</v>
      </c>
      <c r="AN152" s="40">
        <f t="shared" si="78"/>
        <v>14.169103499999995</v>
      </c>
      <c r="AO152" s="40">
        <f t="shared" si="68"/>
        <v>6.4867538532497919</v>
      </c>
      <c r="AP152" s="17">
        <f t="shared" si="69"/>
        <v>0.3188492819158692</v>
      </c>
    </row>
    <row r="153" spans="2:42" x14ac:dyDescent="0.2">
      <c r="B153" s="2">
        <v>27</v>
      </c>
      <c r="C153" s="2">
        <f t="shared" si="70"/>
        <v>2035</v>
      </c>
      <c r="D153" s="36">
        <f t="shared" si="71"/>
        <v>16.276572856528965</v>
      </c>
      <c r="E153" s="36">
        <f t="shared" si="72"/>
        <v>16.048915570876066</v>
      </c>
      <c r="F153" s="36">
        <f t="shared" si="73"/>
        <v>2.7114290176652993</v>
      </c>
      <c r="G153" s="36">
        <f t="shared" si="74"/>
        <v>2.6402861158987703</v>
      </c>
      <c r="H153" s="37">
        <f t="shared" si="40"/>
        <v>210.00549425383247</v>
      </c>
      <c r="I153" s="37">
        <f t="shared" si="41"/>
        <v>199.1558092883067</v>
      </c>
      <c r="J153" s="37">
        <f t="shared" si="42"/>
        <v>62.060025851897279</v>
      </c>
      <c r="K153" s="37">
        <f t="shared" si="43"/>
        <v>60.14996532735438</v>
      </c>
      <c r="L153" s="37">
        <f t="shared" si="44"/>
        <v>147.94546840193519</v>
      </c>
      <c r="M153" s="37">
        <f t="shared" si="45"/>
        <v>139.00584396095232</v>
      </c>
      <c r="N153" s="38">
        <f t="shared" si="46"/>
        <v>429.75</v>
      </c>
      <c r="O153" s="38">
        <f t="shared" si="47"/>
        <v>321.25</v>
      </c>
      <c r="P153" s="16">
        <f t="shared" si="48"/>
        <v>26.670296109852856</v>
      </c>
      <c r="Q153" s="16">
        <f t="shared" si="49"/>
        <v>47.527481724121678</v>
      </c>
      <c r="R153" s="18">
        <f t="shared" si="50"/>
        <v>-11.129666675096178</v>
      </c>
      <c r="S153" s="38">
        <f t="shared" si="51"/>
        <v>141.8175</v>
      </c>
      <c r="T153" s="38">
        <f t="shared" si="52"/>
        <v>321.25</v>
      </c>
      <c r="U153" s="16">
        <f t="shared" si="53"/>
        <v>8.5303177078120793</v>
      </c>
      <c r="V153" s="16">
        <f t="shared" si="54"/>
        <v>44.655627372455932</v>
      </c>
      <c r="W153" s="18">
        <f t="shared" si="55"/>
        <v>-7.9778917620402012</v>
      </c>
      <c r="X153" s="18">
        <f t="shared" si="56"/>
        <v>22.747988636649982</v>
      </c>
      <c r="Y153" s="18">
        <f t="shared" si="57"/>
        <v>19.183597734004881</v>
      </c>
      <c r="Z153" s="16">
        <f t="shared" si="75"/>
        <v>0.5</v>
      </c>
      <c r="AA153" s="18">
        <f t="shared" si="58"/>
        <v>-7.4999999999999997E-2</v>
      </c>
      <c r="AB153" s="18">
        <f t="shared" si="59"/>
        <v>0.15329292399801406</v>
      </c>
      <c r="AC153" s="18">
        <f t="shared" si="76"/>
        <v>7.2176769000496392</v>
      </c>
      <c r="AD153" s="18">
        <f t="shared" si="60"/>
        <v>-6.5789716087618272E-2</v>
      </c>
      <c r="AE153" s="18">
        <f t="shared" si="77"/>
        <v>-2.4725818944285933</v>
      </c>
      <c r="AF153" s="18">
        <f t="shared" si="61"/>
        <v>-1.5789531861028383E-2</v>
      </c>
      <c r="AG153" s="18">
        <f t="shared" si="79"/>
        <v>-0.59341965466286239</v>
      </c>
      <c r="AH153" s="19">
        <f t="shared" si="62"/>
        <v>5.5324482371702679</v>
      </c>
      <c r="AI153" s="19">
        <f t="shared" si="63"/>
        <v>11.638751479391662</v>
      </c>
      <c r="AJ153" s="40">
        <f t="shared" si="64"/>
        <v>-13.651149496834613</v>
      </c>
      <c r="AK153" s="40">
        <f t="shared" si="65"/>
        <v>-7.5448462546132182</v>
      </c>
      <c r="AL153" s="40">
        <f t="shared" si="66"/>
        <v>20.275406742221389</v>
      </c>
      <c r="AM153" s="40">
        <f t="shared" si="67"/>
        <v>25.807854979391657</v>
      </c>
      <c r="AN153" s="40">
        <f t="shared" si="78"/>
        <v>14.169103499999995</v>
      </c>
      <c r="AO153" s="40">
        <f t="shared" si="68"/>
        <v>6.6242572453867767</v>
      </c>
      <c r="AP153" s="17">
        <f t="shared" si="69"/>
        <v>0.30658584799602817</v>
      </c>
    </row>
    <row r="154" spans="2:42" x14ac:dyDescent="0.2">
      <c r="B154" s="2">
        <v>28</v>
      </c>
      <c r="C154" s="2">
        <f t="shared" si="70"/>
        <v>2036</v>
      </c>
      <c r="D154" s="36">
        <f t="shared" si="71"/>
        <v>16.352807127963676</v>
      </c>
      <c r="E154" s="36">
        <f t="shared" si="72"/>
        <v>16.117526415167305</v>
      </c>
      <c r="F154" s="36">
        <f t="shared" si="73"/>
        <v>2.7352522274886462</v>
      </c>
      <c r="G154" s="36">
        <f t="shared" si="74"/>
        <v>2.6617270047397827</v>
      </c>
      <c r="H154" s="37">
        <f t="shared" si="40"/>
        <v>213.71846645587158</v>
      </c>
      <c r="I154" s="37">
        <f t="shared" si="41"/>
        <v>202.38822949502861</v>
      </c>
      <c r="J154" s="37">
        <f t="shared" si="42"/>
        <v>62.705038956368071</v>
      </c>
      <c r="K154" s="37">
        <f t="shared" si="43"/>
        <v>60.723070487802524</v>
      </c>
      <c r="L154" s="37">
        <f t="shared" si="44"/>
        <v>151.01342749950351</v>
      </c>
      <c r="M154" s="37">
        <f t="shared" si="45"/>
        <v>141.66515900722609</v>
      </c>
      <c r="N154" s="38">
        <f t="shared" si="46"/>
        <v>437.625</v>
      </c>
      <c r="O154" s="38">
        <f t="shared" si="47"/>
        <v>326.875</v>
      </c>
      <c r="P154" s="16">
        <f t="shared" si="48"/>
        <v>27.441292673280575</v>
      </c>
      <c r="Q154" s="16">
        <f t="shared" si="49"/>
        <v>49.362514113900211</v>
      </c>
      <c r="R154" s="18">
        <f t="shared" si="50"/>
        <v>-11.520571018077119</v>
      </c>
      <c r="S154" s="38">
        <f t="shared" si="51"/>
        <v>144.41624999999999</v>
      </c>
      <c r="T154" s="38">
        <f t="shared" si="52"/>
        <v>326.875</v>
      </c>
      <c r="U154" s="16">
        <f t="shared" si="53"/>
        <v>8.7693981283341103</v>
      </c>
      <c r="V154" s="16">
        <f t="shared" si="54"/>
        <v>46.306798850487034</v>
      </c>
      <c r="W154" s="18">
        <f t="shared" si="55"/>
        <v>-8.2614295468231713</v>
      </c>
      <c r="X154" s="18">
        <f t="shared" si="56"/>
        <v>22.641307916510499</v>
      </c>
      <c r="Y154" s="18">
        <f t="shared" si="57"/>
        <v>19.101337732068057</v>
      </c>
      <c r="Z154" s="16">
        <f t="shared" si="75"/>
        <v>0.5</v>
      </c>
      <c r="AA154" s="18">
        <f t="shared" si="58"/>
        <v>-7.4999999999999997E-2</v>
      </c>
      <c r="AB154" s="18">
        <f t="shared" si="59"/>
        <v>0.14739704230578274</v>
      </c>
      <c r="AC154" s="18">
        <f t="shared" si="76"/>
        <v>7.3650739423554219</v>
      </c>
      <c r="AD154" s="18">
        <f t="shared" si="60"/>
        <v>-6.4091702160255642E-2</v>
      </c>
      <c r="AE154" s="18">
        <f t="shared" si="77"/>
        <v>-2.5366735965888489</v>
      </c>
      <c r="AF154" s="18">
        <f t="shared" si="61"/>
        <v>-1.5382008518461355E-2</v>
      </c>
      <c r="AG154" s="18">
        <f t="shared" si="79"/>
        <v>-0.60880166318132378</v>
      </c>
      <c r="AH154" s="19">
        <f t="shared" si="62"/>
        <v>5.7529756913205041</v>
      </c>
      <c r="AI154" s="19">
        <f t="shared" si="63"/>
        <v>11.68850651124216</v>
      </c>
      <c r="AJ154" s="40">
        <f t="shared" si="64"/>
        <v>-13.348362040747553</v>
      </c>
      <c r="AK154" s="40">
        <f t="shared" si="65"/>
        <v>-7.4128312208258968</v>
      </c>
      <c r="AL154" s="40">
        <f t="shared" si="66"/>
        <v>20.104634319921651</v>
      </c>
      <c r="AM154" s="40">
        <f t="shared" si="67"/>
        <v>25.857610011242155</v>
      </c>
      <c r="AN154" s="40">
        <f t="shared" si="78"/>
        <v>14.169103499999995</v>
      </c>
      <c r="AO154" s="40">
        <f t="shared" si="68"/>
        <v>6.7562722791740981</v>
      </c>
      <c r="AP154" s="17">
        <f t="shared" si="69"/>
        <v>0.29479408461156548</v>
      </c>
    </row>
    <row r="155" spans="2:42" x14ac:dyDescent="0.2">
      <c r="B155" s="2">
        <v>29</v>
      </c>
      <c r="C155" s="2">
        <f t="shared" si="70"/>
        <v>2037</v>
      </c>
      <c r="D155" s="36">
        <f t="shared" si="71"/>
        <v>16.42827905668404</v>
      </c>
      <c r="E155" s="36">
        <f t="shared" si="72"/>
        <v>16.185451151015631</v>
      </c>
      <c r="F155" s="36">
        <f t="shared" si="73"/>
        <v>2.7588372052137595</v>
      </c>
      <c r="G155" s="36">
        <f t="shared" si="74"/>
        <v>2.6829534846923848</v>
      </c>
      <c r="H155" s="37">
        <f t="shared" si="40"/>
        <v>217.4340080358958</v>
      </c>
      <c r="I155" s="37">
        <f t="shared" si="41"/>
        <v>205.62008820351062</v>
      </c>
      <c r="J155" s="37">
        <f t="shared" si="42"/>
        <v>63.346271823955782</v>
      </c>
      <c r="K155" s="37">
        <f t="shared" si="43"/>
        <v>61.292607210917119</v>
      </c>
      <c r="L155" s="37">
        <f t="shared" si="44"/>
        <v>154.08773621194001</v>
      </c>
      <c r="M155" s="37">
        <f t="shared" si="45"/>
        <v>144.32748099259351</v>
      </c>
      <c r="N155" s="38">
        <f t="shared" si="46"/>
        <v>445.5</v>
      </c>
      <c r="O155" s="38">
        <f t="shared" si="47"/>
        <v>332.5</v>
      </c>
      <c r="P155" s="16">
        <f t="shared" si="48"/>
        <v>28.2207640975723</v>
      </c>
      <c r="Q155" s="16">
        <f t="shared" si="49"/>
        <v>51.234172290470056</v>
      </c>
      <c r="R155" s="18">
        <f t="shared" si="50"/>
        <v>-11.918240458206354</v>
      </c>
      <c r="S155" s="38">
        <f t="shared" si="51"/>
        <v>147.01499999999999</v>
      </c>
      <c r="T155" s="38">
        <f t="shared" si="52"/>
        <v>332.5</v>
      </c>
      <c r="U155" s="16">
        <f t="shared" si="53"/>
        <v>9.0109326491129789</v>
      </c>
      <c r="V155" s="16">
        <f t="shared" si="54"/>
        <v>47.988887430037344</v>
      </c>
      <c r="W155" s="18">
        <f t="shared" si="55"/>
        <v>-8.5499730118725488</v>
      </c>
      <c r="X155" s="18">
        <f t="shared" si="56"/>
        <v>22.521966577291447</v>
      </c>
      <c r="Y155" s="18">
        <f t="shared" si="57"/>
        <v>19.008155863412949</v>
      </c>
      <c r="Z155" s="16">
        <f t="shared" si="75"/>
        <v>0.5</v>
      </c>
      <c r="AA155" s="18">
        <f t="shared" si="58"/>
        <v>-7.4999999999999997E-2</v>
      </c>
      <c r="AB155" s="18">
        <f t="shared" si="59"/>
        <v>0.14172792529402184</v>
      </c>
      <c r="AC155" s="18">
        <f t="shared" si="76"/>
        <v>7.5068018676494441</v>
      </c>
      <c r="AD155" s="18">
        <f t="shared" si="60"/>
        <v>-6.2426982623625608E-2</v>
      </c>
      <c r="AE155" s="18">
        <f t="shared" si="77"/>
        <v>-2.5991005792124744</v>
      </c>
      <c r="AF155" s="18">
        <f t="shared" si="61"/>
        <v>-1.4982475829670147E-2</v>
      </c>
      <c r="AG155" s="18">
        <f t="shared" si="79"/>
        <v>-0.62378413901099394</v>
      </c>
      <c r="AH155" s="19">
        <f t="shared" si="62"/>
        <v>5.9683075939724262</v>
      </c>
      <c r="AI155" s="19">
        <f t="shared" si="63"/>
        <v>11.722070092051403</v>
      </c>
      <c r="AJ155" s="40">
        <f t="shared" si="64"/>
        <v>-13.039848269440522</v>
      </c>
      <c r="AK155" s="40">
        <f t="shared" si="65"/>
        <v>-7.2860857713615452</v>
      </c>
      <c r="AL155" s="40">
        <f t="shared" si="66"/>
        <v>19.922865998078972</v>
      </c>
      <c r="AM155" s="40">
        <f t="shared" si="67"/>
        <v>25.891173592051398</v>
      </c>
      <c r="AN155" s="40">
        <f t="shared" si="78"/>
        <v>14.169103499999995</v>
      </c>
      <c r="AO155" s="40">
        <f t="shared" si="68"/>
        <v>6.8830177286384497</v>
      </c>
      <c r="AP155" s="17">
        <f t="shared" si="69"/>
        <v>0.28345585058804368</v>
      </c>
    </row>
    <row r="156" spans="2:42" x14ac:dyDescent="0.2">
      <c r="B156" s="2">
        <v>30</v>
      </c>
      <c r="C156" s="2">
        <f t="shared" si="70"/>
        <v>2038</v>
      </c>
      <c r="D156" s="36">
        <f t="shared" si="71"/>
        <v>16.502996266117201</v>
      </c>
      <c r="E156" s="36">
        <f t="shared" si="72"/>
        <v>16.252696639505473</v>
      </c>
      <c r="F156" s="36">
        <f t="shared" si="73"/>
        <v>2.7821863331616221</v>
      </c>
      <c r="G156" s="36">
        <f t="shared" si="74"/>
        <v>2.7039676998454611</v>
      </c>
      <c r="H156" s="37">
        <f t="shared" si="40"/>
        <v>221.15145293980783</v>
      </c>
      <c r="I156" s="37">
        <f t="shared" si="41"/>
        <v>208.85087156640247</v>
      </c>
      <c r="J156" s="37">
        <f t="shared" si="42"/>
        <v>63.983709126135423</v>
      </c>
      <c r="K156" s="37">
        <f t="shared" si="43"/>
        <v>61.858568145047485</v>
      </c>
      <c r="L156" s="37">
        <f t="shared" si="44"/>
        <v>157.16774381367242</v>
      </c>
      <c r="M156" s="37">
        <f t="shared" si="45"/>
        <v>146.99230342135499</v>
      </c>
      <c r="N156" s="38">
        <f t="shared" si="46"/>
        <v>453.375</v>
      </c>
      <c r="O156" s="38">
        <f t="shared" si="47"/>
        <v>338.125</v>
      </c>
      <c r="P156" s="16">
        <f t="shared" si="48"/>
        <v>29.008614125061644</v>
      </c>
      <c r="Q156" s="16">
        <f t="shared" si="49"/>
        <v>53.142343376997985</v>
      </c>
      <c r="R156" s="18">
        <f t="shared" si="50"/>
        <v>-12.322643625308944</v>
      </c>
      <c r="S156" s="38">
        <f t="shared" si="51"/>
        <v>149.61374999999998</v>
      </c>
      <c r="T156" s="38">
        <f t="shared" si="52"/>
        <v>338.125</v>
      </c>
      <c r="U156" s="16">
        <f t="shared" si="53"/>
        <v>9.2548923498110973</v>
      </c>
      <c r="V156" s="16">
        <f t="shared" si="54"/>
        <v>49.701772594345655</v>
      </c>
      <c r="W156" s="18">
        <f t="shared" si="55"/>
        <v>-8.8434997416235124</v>
      </c>
      <c r="X156" s="18">
        <f t="shared" si="56"/>
        <v>22.390547630162057</v>
      </c>
      <c r="Y156" s="18">
        <f t="shared" si="57"/>
        <v>18.904538019887159</v>
      </c>
      <c r="Z156" s="16">
        <f t="shared" si="75"/>
        <v>0.5</v>
      </c>
      <c r="AA156" s="18">
        <f t="shared" si="58"/>
        <v>-7.4999999999999997E-2</v>
      </c>
      <c r="AB156" s="18">
        <f t="shared" si="59"/>
        <v>0.13627685124425176</v>
      </c>
      <c r="AC156" s="18">
        <f t="shared" si="76"/>
        <v>7.6430787188936957</v>
      </c>
      <c r="AD156" s="18">
        <f t="shared" si="60"/>
        <v>-6.0795508225670904E-2</v>
      </c>
      <c r="AE156" s="18">
        <f t="shared" si="77"/>
        <v>-2.6598960874381454</v>
      </c>
      <c r="AF156" s="18">
        <f t="shared" si="61"/>
        <v>-1.4590921974161014E-2</v>
      </c>
      <c r="AG156" s="18">
        <f t="shared" si="79"/>
        <v>-0.63837506098515495</v>
      </c>
      <c r="AH156" s="19">
        <f t="shared" si="62"/>
        <v>6.1785901350717864</v>
      </c>
      <c r="AI156" s="19">
        <f t="shared" si="63"/>
        <v>11.740138177795703</v>
      </c>
      <c r="AJ156" s="40">
        <f t="shared" si="64"/>
        <v>-12.725947884815371</v>
      </c>
      <c r="AK156" s="40">
        <f t="shared" si="65"/>
        <v>-7.1643998420914539</v>
      </c>
      <c r="AL156" s="40">
        <f t="shared" si="66"/>
        <v>19.730651542723912</v>
      </c>
      <c r="AM156" s="40">
        <f t="shared" si="67"/>
        <v>25.909241677795698</v>
      </c>
      <c r="AN156" s="40">
        <f t="shared" si="78"/>
        <v>14.169103499999995</v>
      </c>
      <c r="AO156" s="40">
        <f t="shared" si="68"/>
        <v>7.0047036579085411</v>
      </c>
      <c r="AP156" s="17">
        <f t="shared" si="69"/>
        <v>0.27255370248850352</v>
      </c>
    </row>
    <row r="157" spans="2:42" x14ac:dyDescent="0.2">
      <c r="B157" s="2">
        <v>31</v>
      </c>
      <c r="C157" s="2">
        <f t="shared" si="70"/>
        <v>2039</v>
      </c>
      <c r="D157" s="36">
        <f t="shared" si="71"/>
        <v>16.576966303456029</v>
      </c>
      <c r="E157" s="36">
        <f t="shared" si="72"/>
        <v>16.319269673110419</v>
      </c>
      <c r="F157" s="36">
        <f t="shared" si="73"/>
        <v>2.8053019698300057</v>
      </c>
      <c r="G157" s="36">
        <f t="shared" si="74"/>
        <v>2.7247717728470064</v>
      </c>
      <c r="H157" s="37">
        <f t="shared" si="40"/>
        <v>224.87014860064124</v>
      </c>
      <c r="I157" s="37">
        <f t="shared" si="41"/>
        <v>212.08007690170535</v>
      </c>
      <c r="J157" s="37">
        <f t="shared" si="42"/>
        <v>64.617336744972064</v>
      </c>
      <c r="K157" s="37">
        <f t="shared" si="43"/>
        <v>62.420946868476385</v>
      </c>
      <c r="L157" s="37">
        <f t="shared" si="44"/>
        <v>160.25281185566917</v>
      </c>
      <c r="M157" s="37">
        <f t="shared" si="45"/>
        <v>149.65913003322896</v>
      </c>
      <c r="N157" s="38">
        <f t="shared" si="46"/>
        <v>461.25</v>
      </c>
      <c r="O157" s="38">
        <f t="shared" si="47"/>
        <v>343.75</v>
      </c>
      <c r="P157" s="16">
        <f t="shared" si="48"/>
        <v>29.804746573618363</v>
      </c>
      <c r="Q157" s="16">
        <f t="shared" si="49"/>
        <v>55.086904075386272</v>
      </c>
      <c r="R157" s="18">
        <f t="shared" si="50"/>
        <v>-12.733747597350694</v>
      </c>
      <c r="S157" s="38">
        <f t="shared" si="51"/>
        <v>152.21249999999998</v>
      </c>
      <c r="T157" s="38">
        <f t="shared" si="52"/>
        <v>343.75</v>
      </c>
      <c r="U157" s="16">
        <f t="shared" si="53"/>
        <v>9.5012483752179602</v>
      </c>
      <c r="V157" s="16">
        <f t="shared" si="54"/>
        <v>51.445325948922459</v>
      </c>
      <c r="W157" s="18">
        <f t="shared" si="55"/>
        <v>-9.1419861486210632</v>
      </c>
      <c r="X157" s="18">
        <f t="shared" si="56"/>
        <v>22.247628552641142</v>
      </c>
      <c r="Y157" s="18">
        <f t="shared" si="57"/>
        <v>18.790966613162034</v>
      </c>
      <c r="Z157" s="16">
        <f t="shared" si="75"/>
        <v>0.5</v>
      </c>
      <c r="AA157" s="18">
        <f t="shared" si="58"/>
        <v>-7.4999999999999997E-2</v>
      </c>
      <c r="AB157" s="18">
        <f t="shared" si="59"/>
        <v>0.13103543388870362</v>
      </c>
      <c r="AC157" s="18">
        <f t="shared" si="76"/>
        <v>7.7741141527823991</v>
      </c>
      <c r="AD157" s="18">
        <f t="shared" si="60"/>
        <v>-5.9197184250896699E-2</v>
      </c>
      <c r="AE157" s="18">
        <f t="shared" si="77"/>
        <v>-2.7190932716890419</v>
      </c>
      <c r="AF157" s="18">
        <f t="shared" si="61"/>
        <v>-1.4207324220215208E-2</v>
      </c>
      <c r="AG157" s="18">
        <f t="shared" si="79"/>
        <v>-0.65258238520537015</v>
      </c>
      <c r="AH157" s="19">
        <f t="shared" si="62"/>
        <v>6.3839630997869641</v>
      </c>
      <c r="AI157" s="19">
        <f t="shared" si="63"/>
        <v>11.743394880739068</v>
      </c>
      <c r="AJ157" s="40">
        <f t="shared" si="64"/>
        <v>-12.40700351337507</v>
      </c>
      <c r="AK157" s="40">
        <f t="shared" si="65"/>
        <v>-7.0475717324229663</v>
      </c>
      <c r="AL157" s="40">
        <f t="shared" si="66"/>
        <v>19.528535280952099</v>
      </c>
      <c r="AM157" s="40">
        <f t="shared" si="67"/>
        <v>25.912498380739063</v>
      </c>
      <c r="AN157" s="40">
        <f t="shared" si="78"/>
        <v>14.169103499999995</v>
      </c>
      <c r="AO157" s="40">
        <f t="shared" si="68"/>
        <v>7.1215317675770287</v>
      </c>
      <c r="AP157" s="17">
        <f t="shared" si="69"/>
        <v>0.26207086777740729</v>
      </c>
    </row>
    <row r="158" spans="2:42" x14ac:dyDescent="0.2">
      <c r="B158" s="2">
        <v>32</v>
      </c>
      <c r="C158" s="2">
        <f t="shared" si="70"/>
        <v>2040</v>
      </c>
      <c r="D158" s="36">
        <f t="shared" si="71"/>
        <v>16.65019664042147</v>
      </c>
      <c r="E158" s="36">
        <f t="shared" si="72"/>
        <v>16.385176976379316</v>
      </c>
      <c r="F158" s="36">
        <f t="shared" si="73"/>
        <v>2.8281864501317058</v>
      </c>
      <c r="G158" s="36">
        <f t="shared" si="74"/>
        <v>2.7453678051185362</v>
      </c>
      <c r="H158" s="37">
        <f t="shared" si="40"/>
        <v>228.58945590156162</v>
      </c>
      <c r="I158" s="37">
        <f t="shared" si="41"/>
        <v>215.30721262725649</v>
      </c>
      <c r="J158" s="37">
        <f t="shared" si="42"/>
        <v>65.247141739974495</v>
      </c>
      <c r="K158" s="37">
        <f t="shared" si="43"/>
        <v>62.979737863077879</v>
      </c>
      <c r="L158" s="37">
        <f t="shared" si="44"/>
        <v>163.34231416158713</v>
      </c>
      <c r="M158" s="37">
        <f t="shared" si="45"/>
        <v>152.32747476417862</v>
      </c>
      <c r="N158" s="38">
        <f t="shared" si="46"/>
        <v>469.125</v>
      </c>
      <c r="O158" s="38">
        <f t="shared" si="47"/>
        <v>349.375</v>
      </c>
      <c r="P158" s="16">
        <f t="shared" si="48"/>
        <v>30.609065368765535</v>
      </c>
      <c r="Q158" s="16">
        <f t="shared" si="49"/>
        <v>57.067721010204501</v>
      </c>
      <c r="R158" s="18">
        <f t="shared" si="50"/>
        <v>-13.151517956845504</v>
      </c>
      <c r="S158" s="38">
        <f t="shared" si="51"/>
        <v>154.81125</v>
      </c>
      <c r="T158" s="38">
        <f t="shared" si="52"/>
        <v>349.375</v>
      </c>
      <c r="U158" s="16">
        <f t="shared" si="53"/>
        <v>9.7499719432554155</v>
      </c>
      <c r="V158" s="16">
        <f t="shared" si="54"/>
        <v>53.219411495734903</v>
      </c>
      <c r="W158" s="18">
        <f t="shared" si="55"/>
        <v>-9.4454075158485473</v>
      </c>
      <c r="X158" s="18">
        <f t="shared" si="56"/>
        <v>22.093780279106767</v>
      </c>
      <c r="Y158" s="18">
        <f t="shared" si="57"/>
        <v>18.667919639439468</v>
      </c>
      <c r="Z158" s="16">
        <f t="shared" si="75"/>
        <v>0.5</v>
      </c>
      <c r="AA158" s="18">
        <f t="shared" si="58"/>
        <v>-7.4999999999999997E-2</v>
      </c>
      <c r="AB158" s="18">
        <f t="shared" si="59"/>
        <v>0.12599560950836888</v>
      </c>
      <c r="AC158" s="18">
        <f t="shared" si="76"/>
        <v>7.9001097622907679</v>
      </c>
      <c r="AD158" s="18">
        <f t="shared" si="60"/>
        <v>-5.763187409041625E-2</v>
      </c>
      <c r="AE158" s="18">
        <f t="shared" si="77"/>
        <v>-2.7767251457794582</v>
      </c>
      <c r="AF158" s="18">
        <f t="shared" si="61"/>
        <v>-1.3831649781699899E-2</v>
      </c>
      <c r="AG158" s="18">
        <f t="shared" si="79"/>
        <v>-0.66641403498707008</v>
      </c>
      <c r="AH158" s="19">
        <f t="shared" si="62"/>
        <v>6.5845602334158571</v>
      </c>
      <c r="AI158" s="19">
        <f t="shared" si="63"/>
        <v>11.73251186674317</v>
      </c>
      <c r="AJ158" s="40">
        <f t="shared" si="64"/>
        <v>-12.083359406023611</v>
      </c>
      <c r="AK158" s="40">
        <f t="shared" si="65"/>
        <v>-6.9354077726962968</v>
      </c>
      <c r="AL158" s="40">
        <f t="shared" si="66"/>
        <v>19.317055133327308</v>
      </c>
      <c r="AM158" s="40">
        <f t="shared" si="67"/>
        <v>25.901615366743165</v>
      </c>
      <c r="AN158" s="40">
        <f t="shared" si="78"/>
        <v>14.169103499999995</v>
      </c>
      <c r="AO158" s="40">
        <f t="shared" si="68"/>
        <v>7.2336957273036981</v>
      </c>
      <c r="AP158" s="17">
        <f t="shared" si="69"/>
        <v>0.25199121901673777</v>
      </c>
    </row>
    <row r="159" spans="2:42" x14ac:dyDescent="0.2">
      <c r="B159" s="2">
        <v>33</v>
      </c>
      <c r="C159" s="2">
        <f t="shared" si="70"/>
        <v>2041</v>
      </c>
      <c r="D159" s="36">
        <f t="shared" si="71"/>
        <v>16.722694674017255</v>
      </c>
      <c r="E159" s="36">
        <f t="shared" si="72"/>
        <v>16.450425206615524</v>
      </c>
      <c r="F159" s="36">
        <f t="shared" si="73"/>
        <v>2.8508420856303887</v>
      </c>
      <c r="G159" s="36">
        <f t="shared" si="74"/>
        <v>2.765757877067351</v>
      </c>
      <c r="H159" s="37">
        <f t="shared" si="40"/>
        <v>232.30874912806323</v>
      </c>
      <c r="I159" s="37">
        <f t="shared" si="41"/>
        <v>218.5317981885197</v>
      </c>
      <c r="J159" s="37">
        <f t="shared" si="42"/>
        <v>65.873112315699217</v>
      </c>
      <c r="K159" s="37">
        <f t="shared" si="43"/>
        <v>63.534936488577927</v>
      </c>
      <c r="L159" s="37">
        <f t="shared" si="44"/>
        <v>166.43563681236401</v>
      </c>
      <c r="M159" s="37">
        <f t="shared" si="45"/>
        <v>154.99686169994177</v>
      </c>
      <c r="N159" s="38">
        <f t="shared" si="46"/>
        <v>477</v>
      </c>
      <c r="O159" s="38">
        <f t="shared" si="47"/>
        <v>355</v>
      </c>
      <c r="P159" s="16">
        <f t="shared" si="48"/>
        <v>31.421474574588526</v>
      </c>
      <c r="Q159" s="16">
        <f t="shared" si="49"/>
        <v>59.084651068389221</v>
      </c>
      <c r="R159" s="18">
        <f t="shared" si="50"/>
        <v>-13.575918846446662</v>
      </c>
      <c r="S159" s="38">
        <f t="shared" si="51"/>
        <v>157.41</v>
      </c>
      <c r="T159" s="38">
        <f t="shared" si="52"/>
        <v>355</v>
      </c>
      <c r="U159" s="16">
        <f t="shared" si="53"/>
        <v>10.001034352667052</v>
      </c>
      <c r="V159" s="16">
        <f t="shared" si="54"/>
        <v>55.023885903479325</v>
      </c>
      <c r="W159" s="18">
        <f t="shared" si="55"/>
        <v>-9.7537380384219556</v>
      </c>
      <c r="X159" s="18">
        <f t="shared" si="56"/>
        <v>21.929566278130757</v>
      </c>
      <c r="Y159" s="18">
        <f t="shared" si="57"/>
        <v>18.535869821054849</v>
      </c>
      <c r="Z159" s="16">
        <f t="shared" si="75"/>
        <v>0.5</v>
      </c>
      <c r="AA159" s="18">
        <f t="shared" si="58"/>
        <v>-7.4999999999999997E-2</v>
      </c>
      <c r="AB159" s="18">
        <f t="shared" si="59"/>
        <v>0.12114962452727775</v>
      </c>
      <c r="AC159" s="18">
        <f t="shared" si="76"/>
        <v>8.0212593868180448</v>
      </c>
      <c r="AD159" s="18">
        <f t="shared" si="60"/>
        <v>-5.6099402604631199E-2</v>
      </c>
      <c r="AE159" s="18">
        <f t="shared" si="77"/>
        <v>-2.8328245483840893</v>
      </c>
      <c r="AF159" s="18">
        <f t="shared" si="61"/>
        <v>-1.3463856625111488E-2</v>
      </c>
      <c r="AG159" s="18">
        <f t="shared" si="79"/>
        <v>-0.6798778916121816</v>
      </c>
      <c r="AH159" s="19">
        <f t="shared" si="62"/>
        <v>6.780509586514043</v>
      </c>
      <c r="AI159" s="19">
        <f t="shared" si="63"/>
        <v>11.708147816260716</v>
      </c>
      <c r="AJ159" s="40">
        <f t="shared" si="64"/>
        <v>-11.755360234540806</v>
      </c>
      <c r="AK159" s="40">
        <f t="shared" si="65"/>
        <v>-6.8277220047941318</v>
      </c>
      <c r="AL159" s="40">
        <f t="shared" si="66"/>
        <v>19.096741729746668</v>
      </c>
      <c r="AM159" s="40">
        <f t="shared" si="67"/>
        <v>25.877251316260711</v>
      </c>
      <c r="AN159" s="40">
        <f t="shared" si="78"/>
        <v>14.169103499999995</v>
      </c>
      <c r="AO159" s="40">
        <f t="shared" si="68"/>
        <v>7.3413814952058631</v>
      </c>
      <c r="AP159" s="17">
        <f t="shared" si="69"/>
        <v>0.24229924905455549</v>
      </c>
    </row>
    <row r="160" spans="2:42" x14ac:dyDescent="0.2">
      <c r="B160" s="2">
        <v>34</v>
      </c>
      <c r="C160" s="2">
        <f t="shared" si="70"/>
        <v>2042</v>
      </c>
      <c r="D160" s="36">
        <f t="shared" si="71"/>
        <v>16.794467727277084</v>
      </c>
      <c r="E160" s="36">
        <f t="shared" si="72"/>
        <v>16.515020954549367</v>
      </c>
      <c r="F160" s="36">
        <f t="shared" si="73"/>
        <v>2.873271164774085</v>
      </c>
      <c r="G160" s="36">
        <f t="shared" si="74"/>
        <v>2.7859440482966775</v>
      </c>
      <c r="H160" s="37">
        <f t="shared" si="40"/>
        <v>236.02741591005716</v>
      </c>
      <c r="I160" s="37">
        <f t="shared" si="41"/>
        <v>221.7533639801444</v>
      </c>
      <c r="J160" s="37">
        <f t="shared" si="42"/>
        <v>66.49523779008868</v>
      </c>
      <c r="K160" s="37">
        <f t="shared" si="43"/>
        <v>64.086538957404741</v>
      </c>
      <c r="L160" s="37">
        <f t="shared" si="44"/>
        <v>169.53217811996848</v>
      </c>
      <c r="M160" s="37">
        <f t="shared" si="45"/>
        <v>157.66682502273966</v>
      </c>
      <c r="N160" s="38">
        <f t="shared" si="46"/>
        <v>484.875</v>
      </c>
      <c r="O160" s="38">
        <f t="shared" si="47"/>
        <v>360.625</v>
      </c>
      <c r="P160" s="16">
        <f t="shared" si="48"/>
        <v>32.241878423469252</v>
      </c>
      <c r="Q160" s="16">
        <f t="shared" si="49"/>
        <v>61.137541734513626</v>
      </c>
      <c r="R160" s="18">
        <f t="shared" si="50"/>
        <v>-14.006913023697431</v>
      </c>
      <c r="S160" s="38">
        <f t="shared" si="51"/>
        <v>160.00874999999999</v>
      </c>
      <c r="T160" s="38">
        <f t="shared" si="52"/>
        <v>360.625</v>
      </c>
      <c r="U160" s="16">
        <f t="shared" si="53"/>
        <v>10.254406990400636</v>
      </c>
      <c r="V160" s="16">
        <f t="shared" si="54"/>
        <v>56.858598773825484</v>
      </c>
      <c r="W160" s="18">
        <f t="shared" si="55"/>
        <v>-10.066950864633917</v>
      </c>
      <c r="X160" s="18">
        <f t="shared" si="56"/>
        <v>21.755541712912571</v>
      </c>
      <c r="Y160" s="18">
        <f t="shared" si="57"/>
        <v>18.395283821794166</v>
      </c>
      <c r="Z160" s="16">
        <f t="shared" si="75"/>
        <v>0.5</v>
      </c>
      <c r="AA160" s="18">
        <f t="shared" si="58"/>
        <v>-7.4999999999999997E-2</v>
      </c>
      <c r="AB160" s="18">
        <f t="shared" si="59"/>
        <v>0.11649002358392091</v>
      </c>
      <c r="AC160" s="18">
        <f t="shared" si="76"/>
        <v>8.1377494104019661</v>
      </c>
      <c r="AD160" s="18">
        <f t="shared" si="60"/>
        <v>-5.459955928921658E-2</v>
      </c>
      <c r="AE160" s="18">
        <f t="shared" si="77"/>
        <v>-2.887424107673306</v>
      </c>
      <c r="AF160" s="18">
        <f t="shared" si="61"/>
        <v>-1.3103894229411977E-2</v>
      </c>
      <c r="AG160" s="18">
        <f t="shared" si="79"/>
        <v>-0.69298178584159353</v>
      </c>
      <c r="AH160" s="19">
        <f t="shared" si="62"/>
        <v>6.9719338411152769</v>
      </c>
      <c r="AI160" s="19">
        <f t="shared" si="63"/>
        <v>11.670947946354545</v>
      </c>
      <c r="AJ160" s="40">
        <f t="shared" si="64"/>
        <v>-11.423349980678889</v>
      </c>
      <c r="AK160" s="40">
        <f t="shared" si="65"/>
        <v>-6.7243358754396221</v>
      </c>
      <c r="AL160" s="40">
        <f t="shared" si="66"/>
        <v>18.868117605239263</v>
      </c>
      <c r="AM160" s="40">
        <f t="shared" si="67"/>
        <v>25.84005144635454</v>
      </c>
      <c r="AN160" s="40">
        <f t="shared" si="78"/>
        <v>14.169103499999995</v>
      </c>
      <c r="AO160" s="40">
        <f t="shared" si="68"/>
        <v>7.4447676245603729</v>
      </c>
      <c r="AP160" s="17">
        <f t="shared" si="69"/>
        <v>0.23298004716784182</v>
      </c>
    </row>
    <row r="161" spans="1:152" x14ac:dyDescent="0.2">
      <c r="B161" s="2">
        <v>35</v>
      </c>
      <c r="C161" s="2">
        <f t="shared" si="70"/>
        <v>2043</v>
      </c>
      <c r="D161" s="36">
        <f t="shared" si="71"/>
        <v>16.865523050004313</v>
      </c>
      <c r="E161" s="36">
        <f t="shared" si="72"/>
        <v>16.578970745003872</v>
      </c>
      <c r="F161" s="36">
        <f t="shared" si="73"/>
        <v>2.8954759531263439</v>
      </c>
      <c r="G161" s="36">
        <f t="shared" si="74"/>
        <v>2.8059283578137109</v>
      </c>
      <c r="H161" s="37">
        <f t="shared" si="40"/>
        <v>239.74485715450825</v>
      </c>
      <c r="I161" s="37">
        <f t="shared" si="41"/>
        <v>224.97145126173362</v>
      </c>
      <c r="J161" s="37">
        <f t="shared" si="42"/>
        <v>67.113508563528171</v>
      </c>
      <c r="K161" s="37">
        <f t="shared" si="43"/>
        <v>64.634542310116387</v>
      </c>
      <c r="L161" s="37">
        <f t="shared" si="44"/>
        <v>172.63134859098008</v>
      </c>
      <c r="M161" s="37">
        <f t="shared" si="45"/>
        <v>160.33690895161723</v>
      </c>
      <c r="N161" s="38">
        <f t="shared" si="46"/>
        <v>492.75</v>
      </c>
      <c r="O161" s="38">
        <f t="shared" si="47"/>
        <v>366.25</v>
      </c>
      <c r="P161" s="16">
        <f t="shared" si="48"/>
        <v>33.07018134467851</v>
      </c>
      <c r="Q161" s="16">
        <f t="shared" si="49"/>
        <v>63.226231421446457</v>
      </c>
      <c r="R161" s="18">
        <f t="shared" si="50"/>
        <v>-14.444461914918746</v>
      </c>
      <c r="S161" s="38">
        <f t="shared" si="51"/>
        <v>162.60750000000002</v>
      </c>
      <c r="T161" s="38">
        <f t="shared" si="52"/>
        <v>366.25</v>
      </c>
      <c r="U161" s="16">
        <f t="shared" si="53"/>
        <v>10.510061338692251</v>
      </c>
      <c r="V161" s="16">
        <f t="shared" si="54"/>
        <v>58.723392903529813</v>
      </c>
      <c r="W161" s="18">
        <f t="shared" si="55"/>
        <v>-10.38501813633331</v>
      </c>
      <c r="X161" s="18">
        <f t="shared" si="56"/>
        <v>21.572252681101691</v>
      </c>
      <c r="Y161" s="18">
        <f t="shared" si="57"/>
        <v>18.246621532743795</v>
      </c>
      <c r="Z161" s="16">
        <f t="shared" si="75"/>
        <v>0.5</v>
      </c>
      <c r="AA161" s="18">
        <f t="shared" si="58"/>
        <v>-7.4999999999999997E-2</v>
      </c>
      <c r="AB161" s="18">
        <f t="shared" si="59"/>
        <v>0.1120096380614624</v>
      </c>
      <c r="AC161" s="18">
        <f t="shared" si="76"/>
        <v>8.249759048463428</v>
      </c>
      <c r="AD161" s="18">
        <f t="shared" si="60"/>
        <v>-5.313210125456664E-2</v>
      </c>
      <c r="AE161" s="18">
        <f t="shared" si="77"/>
        <v>-2.9405562089278727</v>
      </c>
      <c r="AF161" s="18">
        <f t="shared" si="61"/>
        <v>-1.2751704301095993E-2</v>
      </c>
      <c r="AG161" s="18">
        <f t="shared" si="79"/>
        <v>-0.70573349014268949</v>
      </c>
      <c r="AH161" s="19">
        <f t="shared" si="62"/>
        <v>7.1589506188907173</v>
      </c>
      <c r="AI161" s="19">
        <f t="shared" si="63"/>
        <v>11.62154359106454</v>
      </c>
      <c r="AJ161" s="40">
        <f t="shared" si="64"/>
        <v>-11.08767091385308</v>
      </c>
      <c r="AK161" s="40">
        <f t="shared" si="65"/>
        <v>-6.6250779416792565</v>
      </c>
      <c r="AL161" s="40">
        <f t="shared" si="66"/>
        <v>18.631696472173818</v>
      </c>
      <c r="AM161" s="40">
        <f t="shared" si="67"/>
        <v>25.790647091064535</v>
      </c>
      <c r="AN161" s="40">
        <f t="shared" si="78"/>
        <v>14.169103499999995</v>
      </c>
      <c r="AO161" s="40">
        <f t="shared" si="68"/>
        <v>7.5440255583207385</v>
      </c>
      <c r="AP161" s="17">
        <f t="shared" si="69"/>
        <v>0.2240192761229248</v>
      </c>
    </row>
    <row r="162" spans="1:152" x14ac:dyDescent="0.2">
      <c r="B162" s="2">
        <v>36</v>
      </c>
      <c r="C162" s="2">
        <f t="shared" si="70"/>
        <v>2044</v>
      </c>
      <c r="D162" s="36">
        <f t="shared" si="71"/>
        <v>16.935867819504271</v>
      </c>
      <c r="E162" s="36">
        <f t="shared" si="72"/>
        <v>16.642281037553833</v>
      </c>
      <c r="F162" s="36">
        <f t="shared" si="73"/>
        <v>2.9174586935950804</v>
      </c>
      <c r="G162" s="36">
        <f t="shared" si="74"/>
        <v>2.8257128242355738</v>
      </c>
      <c r="H162" s="37">
        <f t="shared" si="40"/>
        <v>243.46048696925558</v>
      </c>
      <c r="I162" s="37">
        <f t="shared" si="41"/>
        <v>228.18561206824154</v>
      </c>
      <c r="J162" s="37">
        <f t="shared" si="42"/>
        <v>67.727916088606733</v>
      </c>
      <c r="K162" s="37">
        <f t="shared" si="43"/>
        <v>65.178944391393429</v>
      </c>
      <c r="L162" s="37">
        <f t="shared" si="44"/>
        <v>175.73257088064884</v>
      </c>
      <c r="M162" s="37">
        <f t="shared" si="45"/>
        <v>163.00666767684811</v>
      </c>
      <c r="N162" s="38">
        <f t="shared" si="46"/>
        <v>500.625</v>
      </c>
      <c r="O162" s="38">
        <f t="shared" si="47"/>
        <v>371.875</v>
      </c>
      <c r="P162" s="16">
        <f t="shared" si="48"/>
        <v>33.906287991858747</v>
      </c>
      <c r="Q162" s="16">
        <f t="shared" si="49"/>
        <v>65.350549796241282</v>
      </c>
      <c r="R162" s="18">
        <f t="shared" si="50"/>
        <v>-14.888525668215003</v>
      </c>
      <c r="S162" s="38">
        <f t="shared" si="51"/>
        <v>165.20625000000001</v>
      </c>
      <c r="T162" s="38">
        <f t="shared" si="52"/>
        <v>371.875</v>
      </c>
      <c r="U162" s="16">
        <f t="shared" si="53"/>
        <v>10.767968981860641</v>
      </c>
      <c r="V162" s="16">
        <f t="shared" si="54"/>
        <v>60.618104542327892</v>
      </c>
      <c r="W162" s="18">
        <f t="shared" si="55"/>
        <v>-10.707911028628279</v>
      </c>
      <c r="X162" s="18">
        <f t="shared" si="56"/>
        <v>21.380235530327631</v>
      </c>
      <c r="Y162" s="18">
        <f t="shared" si="57"/>
        <v>18.090335425505206</v>
      </c>
      <c r="Z162" s="16">
        <f t="shared" si="75"/>
        <v>0.5</v>
      </c>
      <c r="AA162" s="18">
        <f t="shared" si="58"/>
        <v>-7.4999999999999997E-2</v>
      </c>
      <c r="AB162" s="18">
        <f t="shared" si="59"/>
        <v>0.10770157505909846</v>
      </c>
      <c r="AC162" s="18">
        <f t="shared" si="76"/>
        <v>8.3574606235225257</v>
      </c>
      <c r="AD162" s="18">
        <f t="shared" si="60"/>
        <v>-5.1696756028367263E-2</v>
      </c>
      <c r="AE162" s="18">
        <f t="shared" si="77"/>
        <v>-2.9922529649562399</v>
      </c>
      <c r="AF162" s="18">
        <f t="shared" si="61"/>
        <v>-1.240722144680814E-2</v>
      </c>
      <c r="AG162" s="18">
        <f t="shared" si="79"/>
        <v>-0.71814071158949766</v>
      </c>
      <c r="AH162" s="19">
        <f t="shared" si="62"/>
        <v>7.3416727720668398</v>
      </c>
      <c r="AI162" s="19">
        <f t="shared" si="63"/>
        <v>11.560551837438236</v>
      </c>
      <c r="AJ162" s="40">
        <f t="shared" si="64"/>
        <v>-10.748662653438362</v>
      </c>
      <c r="AK162" s="40">
        <f t="shared" si="65"/>
        <v>-6.5297835880669668</v>
      </c>
      <c r="AL162" s="40">
        <f t="shared" si="66"/>
        <v>18.387982565371392</v>
      </c>
      <c r="AM162" s="40">
        <f t="shared" si="67"/>
        <v>25.729655337438231</v>
      </c>
      <c r="AN162" s="40">
        <f t="shared" si="78"/>
        <v>14.169103499999995</v>
      </c>
      <c r="AO162" s="40">
        <f t="shared" si="68"/>
        <v>7.6393199119330282</v>
      </c>
      <c r="AP162" s="17">
        <f t="shared" si="69"/>
        <v>0.21540315011819691</v>
      </c>
    </row>
    <row r="163" spans="1:152" x14ac:dyDescent="0.2">
      <c r="B163" s="2">
        <v>37</v>
      </c>
      <c r="C163" s="2">
        <f t="shared" si="70"/>
        <v>2045</v>
      </c>
      <c r="D163" s="36">
        <f t="shared" si="71"/>
        <v>17.005509141309229</v>
      </c>
      <c r="E163" s="36">
        <f t="shared" si="72"/>
        <v>16.704958227178295</v>
      </c>
      <c r="F163" s="36">
        <f t="shared" si="73"/>
        <v>2.9392216066591295</v>
      </c>
      <c r="G163" s="36">
        <f t="shared" si="74"/>
        <v>2.8452994459932182</v>
      </c>
      <c r="H163" s="37">
        <f t="shared" si="40"/>
        <v>247.17373257861303</v>
      </c>
      <c r="I163" s="37">
        <f t="shared" si="41"/>
        <v>231.39540911539956</v>
      </c>
      <c r="J163" s="37">
        <f t="shared" si="42"/>
        <v>68.338452840566433</v>
      </c>
      <c r="K163" s="37">
        <f t="shared" si="43"/>
        <v>65.719743826584562</v>
      </c>
      <c r="L163" s="37">
        <f t="shared" si="44"/>
        <v>178.83527973804661</v>
      </c>
      <c r="M163" s="37">
        <f t="shared" si="45"/>
        <v>165.675665288815</v>
      </c>
      <c r="N163" s="38">
        <f t="shared" si="46"/>
        <v>508.5</v>
      </c>
      <c r="O163" s="38">
        <f t="shared" si="47"/>
        <v>377.5</v>
      </c>
      <c r="P163" s="16">
        <f t="shared" si="48"/>
        <v>34.750103269428031</v>
      </c>
      <c r="Q163" s="16">
        <f t="shared" si="49"/>
        <v>67.510318101112588</v>
      </c>
      <c r="R163" s="18">
        <f t="shared" si="50"/>
        <v>-15.339063205581093</v>
      </c>
      <c r="S163" s="38">
        <f t="shared" si="51"/>
        <v>167.80500000000001</v>
      </c>
      <c r="T163" s="38">
        <f t="shared" si="52"/>
        <v>377.5</v>
      </c>
      <c r="U163" s="16">
        <f t="shared" si="53"/>
        <v>11.028101612820024</v>
      </c>
      <c r="V163" s="16">
        <f t="shared" si="54"/>
        <v>62.542563646527661</v>
      </c>
      <c r="W163" s="18">
        <f t="shared" si="55"/>
        <v>-11.035599788902154</v>
      </c>
      <c r="X163" s="18">
        <f t="shared" si="56"/>
        <v>21.180016245796764</v>
      </c>
      <c r="Y163" s="18">
        <f t="shared" si="57"/>
        <v>17.926869969632225</v>
      </c>
      <c r="Z163" s="16">
        <f t="shared" si="75"/>
        <v>0.5</v>
      </c>
      <c r="AA163" s="18">
        <f t="shared" si="58"/>
        <v>-7.4999999999999997E-2</v>
      </c>
      <c r="AB163" s="18">
        <f t="shared" si="59"/>
        <v>0.10355920678759468</v>
      </c>
      <c r="AC163" s="18">
        <f t="shared" si="76"/>
        <v>8.4610198303101196</v>
      </c>
      <c r="AD163" s="18">
        <f t="shared" si="60"/>
        <v>-5.0293224190493035E-2</v>
      </c>
      <c r="AE163" s="18">
        <f t="shared" si="77"/>
        <v>-3.0425461891467331</v>
      </c>
      <c r="AF163" s="18">
        <f t="shared" si="61"/>
        <v>-1.2070373805718329E-2</v>
      </c>
      <c r="AG163" s="18">
        <f t="shared" si="79"/>
        <v>-0.73021108539521595</v>
      </c>
      <c r="AH163" s="19">
        <f t="shared" si="62"/>
        <v>7.520208657897097</v>
      </c>
      <c r="AI163" s="19">
        <f t="shared" si="63"/>
        <v>11.488575214547133</v>
      </c>
      <c r="AJ163" s="40">
        <f t="shared" si="64"/>
        <v>-10.406661311735128</v>
      </c>
      <c r="AK163" s="40">
        <f t="shared" si="65"/>
        <v>-6.4382947550850913</v>
      </c>
      <c r="AL163" s="40">
        <f t="shared" si="66"/>
        <v>18.137470056650031</v>
      </c>
      <c r="AM163" s="40">
        <f t="shared" si="67"/>
        <v>25.657678714547128</v>
      </c>
      <c r="AN163" s="40">
        <f t="shared" si="78"/>
        <v>14.169103499999995</v>
      </c>
      <c r="AO163" s="40">
        <f t="shared" si="68"/>
        <v>7.7308087449149037</v>
      </c>
      <c r="AP163" s="17">
        <f t="shared" si="69"/>
        <v>0.20711841357518934</v>
      </c>
    </row>
    <row r="164" spans="1:152" x14ac:dyDescent="0.2">
      <c r="B164" s="2">
        <v>38</v>
      </c>
      <c r="C164" s="2">
        <f t="shared" si="70"/>
        <v>2046</v>
      </c>
      <c r="D164" s="36">
        <f t="shared" si="71"/>
        <v>17.074454049896136</v>
      </c>
      <c r="E164" s="36">
        <f t="shared" si="72"/>
        <v>16.767008644906511</v>
      </c>
      <c r="F164" s="36">
        <f t="shared" si="73"/>
        <v>2.9607668905925379</v>
      </c>
      <c r="G164" s="36">
        <f t="shared" si="74"/>
        <v>2.864690201533286</v>
      </c>
      <c r="H164" s="37">
        <f t="shared" si="40"/>
        <v>250.88403423132195</v>
      </c>
      <c r="I164" s="37">
        <f t="shared" si="41"/>
        <v>234.6004157005506</v>
      </c>
      <c r="J164" s="37">
        <f t="shared" si="42"/>
        <v>68.945112288426003</v>
      </c>
      <c r="K164" s="37">
        <f t="shared" si="43"/>
        <v>66.256939998793541</v>
      </c>
      <c r="L164" s="37">
        <f t="shared" si="44"/>
        <v>181.93892194289594</v>
      </c>
      <c r="M164" s="37">
        <f t="shared" si="45"/>
        <v>168.34347570175706</v>
      </c>
      <c r="N164" s="38">
        <f t="shared" si="46"/>
        <v>516.375</v>
      </c>
      <c r="O164" s="38">
        <f t="shared" si="47"/>
        <v>383.125</v>
      </c>
      <c r="P164" s="16">
        <f t="shared" si="48"/>
        <v>35.60153235793598</v>
      </c>
      <c r="Q164" s="16">
        <f t="shared" si="49"/>
        <v>69.70534946937201</v>
      </c>
      <c r="R164" s="18">
        <f t="shared" si="50"/>
        <v>-15.796032274096198</v>
      </c>
      <c r="S164" s="38">
        <f t="shared" si="51"/>
        <v>170.40375</v>
      </c>
      <c r="T164" s="38">
        <f t="shared" si="52"/>
        <v>383.125</v>
      </c>
      <c r="U164" s="16">
        <f t="shared" si="53"/>
        <v>11.290431039319415</v>
      </c>
      <c r="V164" s="16">
        <f t="shared" si="54"/>
        <v>64.496594128235671</v>
      </c>
      <c r="W164" s="18">
        <f t="shared" si="55"/>
        <v>-11.368053775133262</v>
      </c>
      <c r="X164" s="18">
        <f t="shared" si="56"/>
        <v>20.972109906367272</v>
      </c>
      <c r="Y164" s="18">
        <f t="shared" si="57"/>
        <v>17.756661111184339</v>
      </c>
      <c r="Z164" s="16">
        <f t="shared" si="75"/>
        <v>0.5</v>
      </c>
      <c r="AA164" s="18">
        <f t="shared" si="58"/>
        <v>-7.4999999999999997E-2</v>
      </c>
      <c r="AB164" s="18">
        <f t="shared" si="59"/>
        <v>9.957616037268717E-2</v>
      </c>
      <c r="AC164" s="18">
        <f t="shared" si="76"/>
        <v>8.5605959906828062</v>
      </c>
      <c r="AD164" s="18">
        <f t="shared" si="60"/>
        <v>-4.8921181848981365E-2</v>
      </c>
      <c r="AE164" s="18">
        <f t="shared" si="77"/>
        <v>-3.0914673709957143</v>
      </c>
      <c r="AF164" s="18">
        <f t="shared" si="61"/>
        <v>-1.1741083643755526E-2</v>
      </c>
      <c r="AG164" s="18">
        <f t="shared" si="79"/>
        <v>-0.74195216903897143</v>
      </c>
      <c r="AH164" s="19">
        <f t="shared" si="62"/>
        <v>7.694662397456618</v>
      </c>
      <c r="AI164" s="19">
        <f t="shared" si="63"/>
        <v>11.40620143282818</v>
      </c>
      <c r="AJ164" s="40">
        <f t="shared" si="64"/>
        <v>-10.061998713727721</v>
      </c>
      <c r="AK164" s="40">
        <f t="shared" si="65"/>
        <v>-6.3504596783561604</v>
      </c>
      <c r="AL164" s="40">
        <f t="shared" si="66"/>
        <v>17.880642535371557</v>
      </c>
      <c r="AM164" s="40">
        <f t="shared" si="67"/>
        <v>25.575304932828175</v>
      </c>
      <c r="AN164" s="40">
        <f t="shared" si="78"/>
        <v>14.169103499999995</v>
      </c>
      <c r="AO164" s="40">
        <f t="shared" si="68"/>
        <v>7.8186438216438345</v>
      </c>
      <c r="AP164" s="17">
        <f t="shared" si="69"/>
        <v>0.19915232074537434</v>
      </c>
    </row>
    <row r="165" spans="1:152" x14ac:dyDescent="0.2">
      <c r="B165" s="2">
        <v>39</v>
      </c>
      <c r="C165" s="2">
        <f t="shared" si="70"/>
        <v>2047</v>
      </c>
      <c r="D165" s="36">
        <f t="shared" si="71"/>
        <v>17.142709509397175</v>
      </c>
      <c r="E165" s="36">
        <f t="shared" si="72"/>
        <v>16.828438558457446</v>
      </c>
      <c r="F165" s="36">
        <f t="shared" si="73"/>
        <v>2.9820967216866126</v>
      </c>
      <c r="G165" s="36">
        <f t="shared" si="74"/>
        <v>2.8838870495179529</v>
      </c>
      <c r="H165" s="37">
        <f t="shared" si="40"/>
        <v>254.59084510139962</v>
      </c>
      <c r="I165" s="37">
        <f t="shared" si="41"/>
        <v>237.80021559925314</v>
      </c>
      <c r="J165" s="37">
        <f t="shared" si="42"/>
        <v>69.547888866764438</v>
      </c>
      <c r="K165" s="37">
        <f t="shared" si="43"/>
        <v>66.790533026495993</v>
      </c>
      <c r="L165" s="37">
        <f t="shared" si="44"/>
        <v>185.0429562346352</v>
      </c>
      <c r="M165" s="37">
        <f t="shared" si="45"/>
        <v>171.00968257275713</v>
      </c>
      <c r="N165" s="38">
        <f t="shared" si="46"/>
        <v>524.25</v>
      </c>
      <c r="O165" s="38">
        <f t="shared" si="47"/>
        <v>388.75</v>
      </c>
      <c r="P165" s="16">
        <f t="shared" si="48"/>
        <v>36.460480738401259</v>
      </c>
      <c r="Q165" s="16">
        <f t="shared" si="49"/>
        <v>71.935449236214424</v>
      </c>
      <c r="R165" s="18">
        <f t="shared" si="50"/>
        <v>-16.259389496192352</v>
      </c>
      <c r="S165" s="38">
        <f t="shared" si="51"/>
        <v>173.0025</v>
      </c>
      <c r="T165" s="38">
        <f t="shared" si="52"/>
        <v>388.75</v>
      </c>
      <c r="U165" s="16">
        <f t="shared" si="53"/>
        <v>11.554929189916374</v>
      </c>
      <c r="V165" s="16">
        <f t="shared" si="54"/>
        <v>66.480014100159337</v>
      </c>
      <c r="W165" s="18">
        <f t="shared" si="55"/>
        <v>-11.705241493511357</v>
      </c>
      <c r="X165" s="18">
        <f t="shared" si="56"/>
        <v>20.757020205574808</v>
      </c>
      <c r="Y165" s="18">
        <f t="shared" si="57"/>
        <v>17.580135809335133</v>
      </c>
      <c r="Z165" s="16">
        <f t="shared" si="75"/>
        <v>0.5</v>
      </c>
      <c r="AA165" s="18">
        <f t="shared" si="58"/>
        <v>-7.4999999999999997E-2</v>
      </c>
      <c r="AB165" s="18">
        <f t="shared" si="59"/>
        <v>9.5746308050660756E-2</v>
      </c>
      <c r="AC165" s="18">
        <f t="shared" si="76"/>
        <v>8.6563422987334668</v>
      </c>
      <c r="AD165" s="18">
        <f t="shared" si="60"/>
        <v>-4.7580282965410711E-2</v>
      </c>
      <c r="AE165" s="18">
        <f t="shared" si="77"/>
        <v>-3.139047653961125</v>
      </c>
      <c r="AF165" s="18">
        <f t="shared" si="61"/>
        <v>-1.1419267911698569E-2</v>
      </c>
      <c r="AG165" s="18">
        <f t="shared" si="79"/>
        <v>-0.75337143695066999</v>
      </c>
      <c r="AH165" s="19">
        <f t="shared" si="62"/>
        <v>7.8651341195042477</v>
      </c>
      <c r="AI165" s="19">
        <f t="shared" si="63"/>
        <v>11.314003171117935</v>
      </c>
      <c r="AJ165" s="40">
        <f t="shared" si="64"/>
        <v>-9.7150016898308849</v>
      </c>
      <c r="AK165" s="40">
        <f t="shared" si="65"/>
        <v>-6.266132638217198</v>
      </c>
      <c r="AL165" s="40">
        <f t="shared" si="66"/>
        <v>17.617972551613683</v>
      </c>
      <c r="AM165" s="40">
        <f t="shared" si="67"/>
        <v>25.48310667111793</v>
      </c>
      <c r="AN165" s="40">
        <f t="shared" si="78"/>
        <v>14.169103499999995</v>
      </c>
      <c r="AO165" s="40">
        <f t="shared" si="68"/>
        <v>7.902970861782797</v>
      </c>
      <c r="AP165" s="17">
        <f t="shared" si="69"/>
        <v>0.19149261610132148</v>
      </c>
    </row>
    <row r="166" spans="1:152" x14ac:dyDescent="0.2">
      <c r="B166" s="2">
        <v>40</v>
      </c>
      <c r="C166" s="2">
        <f t="shared" si="70"/>
        <v>2048</v>
      </c>
      <c r="D166" s="36">
        <f t="shared" si="71"/>
        <v>17.210282414303204</v>
      </c>
      <c r="E166" s="36">
        <f t="shared" si="72"/>
        <v>16.889254172872871</v>
      </c>
      <c r="F166" s="36">
        <f t="shared" si="73"/>
        <v>3.0032132544697463</v>
      </c>
      <c r="G166" s="36">
        <f t="shared" si="74"/>
        <v>2.9028919290227733</v>
      </c>
      <c r="H166" s="37">
        <f t="shared" si="40"/>
        <v>258.29363118239866</v>
      </c>
      <c r="I166" s="37">
        <f t="shared" si="41"/>
        <v>240.99440295799747</v>
      </c>
      <c r="J166" s="37">
        <f t="shared" si="42"/>
        <v>70.146777948150287</v>
      </c>
      <c r="K166" s="37">
        <f t="shared" si="43"/>
        <v>67.32052374167435</v>
      </c>
      <c r="L166" s="43">
        <f t="shared" si="44"/>
        <v>188.14685323424837</v>
      </c>
      <c r="M166" s="44">
        <f t="shared" si="45"/>
        <v>173.67387921632312</v>
      </c>
      <c r="N166" s="38">
        <f t="shared" si="46"/>
        <v>532.125</v>
      </c>
      <c r="O166" s="38">
        <f t="shared" si="47"/>
        <v>394.375</v>
      </c>
      <c r="P166" s="16">
        <f t="shared" si="48"/>
        <v>37.326854215659466</v>
      </c>
      <c r="Q166" s="16">
        <f t="shared" si="49"/>
        <v>74.200415244256689</v>
      </c>
      <c r="R166" s="18">
        <f t="shared" si="50"/>
        <v>-16.729090418987422</v>
      </c>
      <c r="S166" s="38">
        <f t="shared" si="51"/>
        <v>175.60124999999999</v>
      </c>
      <c r="T166" s="38">
        <f t="shared" si="52"/>
        <v>394.375</v>
      </c>
      <c r="U166" s="16">
        <f t="shared" si="53"/>
        <v>11.821568119692692</v>
      </c>
      <c r="V166" s="16">
        <f t="shared" si="54"/>
        <v>68.49263611593743</v>
      </c>
      <c r="W166" s="18">
        <f t="shared" si="55"/>
        <v>-12.047130635344518</v>
      </c>
      <c r="X166" s="18">
        <f t="shared" si="56"/>
        <v>20.535239034150351</v>
      </c>
      <c r="Y166" s="18">
        <f t="shared" si="57"/>
        <v>17.397711628027881</v>
      </c>
      <c r="Z166" s="16">
        <f t="shared" si="75"/>
        <v>0.5</v>
      </c>
      <c r="AA166" s="18">
        <f t="shared" si="58"/>
        <v>-7.4999999999999997E-2</v>
      </c>
      <c r="AB166" s="18">
        <f t="shared" si="59"/>
        <v>9.2063757741019964E-2</v>
      </c>
      <c r="AC166" s="18">
        <f t="shared" si="76"/>
        <v>8.7484060564744865</v>
      </c>
      <c r="AD166" s="18">
        <f t="shared" si="60"/>
        <v>-4.6270161537604382E-2</v>
      </c>
      <c r="AE166" s="18">
        <f t="shared" si="77"/>
        <v>-3.1853178154987294</v>
      </c>
      <c r="AF166" s="18">
        <f t="shared" si="61"/>
        <v>-1.1104838769025051E-2</v>
      </c>
      <c r="AG166" s="18">
        <f t="shared" si="79"/>
        <v>-0.76447627571969501</v>
      </c>
      <c r="AH166" s="19">
        <f t="shared" si="62"/>
        <v>8.0317201901310504</v>
      </c>
      <c r="AI166" s="19">
        <f t="shared" si="63"/>
        <v>11.212537908782679</v>
      </c>
      <c r="AJ166" s="40">
        <f t="shared" si="64"/>
        <v>-9.365991437896831</v>
      </c>
      <c r="AK166" s="40">
        <f t="shared" si="65"/>
        <v>-6.1851737192452036</v>
      </c>
      <c r="AL166" s="40">
        <f t="shared" si="66"/>
        <v>17.349921218651623</v>
      </c>
      <c r="AM166" s="40">
        <f t="shared" si="67"/>
        <v>25.381641408782674</v>
      </c>
      <c r="AN166" s="40">
        <f t="shared" si="78"/>
        <v>14.169103499999995</v>
      </c>
      <c r="AO166" s="40">
        <f t="shared" si="68"/>
        <v>7.9839297807547913</v>
      </c>
      <c r="AP166" s="17">
        <f t="shared" si="69"/>
        <v>0.18412751548203993</v>
      </c>
    </row>
    <row r="167" spans="1:152" x14ac:dyDescent="0.2">
      <c r="D167" s="36"/>
      <c r="E167" s="36"/>
      <c r="F167" s="36"/>
      <c r="G167" s="36"/>
      <c r="M167" s="44"/>
      <c r="V167" s="13"/>
      <c r="AP167" s="17"/>
    </row>
    <row r="168" spans="1:152" x14ac:dyDescent="0.2">
      <c r="D168" s="36"/>
      <c r="E168" s="36"/>
      <c r="F168" s="36"/>
      <c r="G168" s="36"/>
      <c r="M168" s="44"/>
      <c r="V168" s="13"/>
      <c r="AP168" s="17"/>
    </row>
    <row r="169" spans="1:152" ht="26.25" x14ac:dyDescent="0.4">
      <c r="A169" s="54"/>
      <c r="B169" s="71" t="s">
        <v>104</v>
      </c>
      <c r="C169" s="54"/>
      <c r="D169" s="55"/>
      <c r="E169" s="55"/>
      <c r="F169" s="55"/>
      <c r="G169" s="55"/>
      <c r="H169" s="54"/>
      <c r="I169" s="54"/>
      <c r="J169" s="54"/>
      <c r="K169" s="54"/>
      <c r="L169" s="54"/>
      <c r="M169" s="56"/>
      <c r="N169" s="54"/>
      <c r="O169" s="54"/>
      <c r="P169" s="54"/>
      <c r="Q169" s="54"/>
      <c r="S169" s="54"/>
      <c r="T169" s="54"/>
      <c r="U169" s="54"/>
      <c r="V169" s="54"/>
      <c r="Z169" s="54"/>
      <c r="AC169" s="54"/>
      <c r="AE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7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</row>
    <row r="170" spans="1:152" s="54" customFormat="1" x14ac:dyDescent="0.2">
      <c r="A170" s="2"/>
      <c r="B170" s="2"/>
      <c r="C170" s="2"/>
      <c r="D170" s="36"/>
      <c r="E170" s="36"/>
      <c r="F170" s="36"/>
      <c r="G170" s="36"/>
      <c r="H170" s="2"/>
      <c r="I170" s="2"/>
      <c r="J170" s="2"/>
      <c r="K170" s="2"/>
      <c r="L170" s="2"/>
      <c r="M170" s="44"/>
      <c r="N170" s="2"/>
      <c r="O170" s="2"/>
      <c r="P170" s="2"/>
      <c r="Q170" s="2"/>
      <c r="R170" s="13"/>
      <c r="S170" s="2"/>
      <c r="T170" s="2"/>
      <c r="U170" s="2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2"/>
      <c r="AK170" s="2"/>
      <c r="AL170" s="2"/>
      <c r="AM170" s="2"/>
      <c r="AN170" s="2"/>
      <c r="AO170" s="2"/>
      <c r="AP170" s="17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</row>
    <row r="171" spans="1:152" s="49" customFormat="1" x14ac:dyDescent="0.2">
      <c r="B171" s="51">
        <v>1</v>
      </c>
      <c r="C171" s="49">
        <v>2</v>
      </c>
      <c r="D171" s="51">
        <v>3</v>
      </c>
      <c r="E171" s="49">
        <v>4</v>
      </c>
      <c r="F171" s="51">
        <v>5</v>
      </c>
      <c r="G171" s="49">
        <v>6</v>
      </c>
      <c r="H171" s="51">
        <v>7</v>
      </c>
      <c r="I171" s="49">
        <v>8</v>
      </c>
      <c r="J171" s="51">
        <v>9</v>
      </c>
      <c r="K171" s="49">
        <v>10</v>
      </c>
      <c r="L171" s="51">
        <v>11</v>
      </c>
      <c r="M171" s="49">
        <v>12</v>
      </c>
      <c r="N171" s="51">
        <v>13</v>
      </c>
      <c r="O171" s="49">
        <v>14</v>
      </c>
      <c r="P171" s="51">
        <v>15</v>
      </c>
      <c r="Q171" s="49">
        <v>16</v>
      </c>
      <c r="R171" s="51">
        <v>17</v>
      </c>
      <c r="S171" s="51">
        <v>18</v>
      </c>
      <c r="T171" s="49">
        <v>19</v>
      </c>
      <c r="U171" s="51">
        <v>20</v>
      </c>
      <c r="V171" s="49">
        <v>21</v>
      </c>
      <c r="W171" s="51">
        <v>22</v>
      </c>
      <c r="X171" s="51">
        <v>23</v>
      </c>
      <c r="Y171" s="51">
        <v>24</v>
      </c>
      <c r="Z171" s="51">
        <v>25</v>
      </c>
      <c r="AA171" s="51">
        <v>26</v>
      </c>
      <c r="AB171" s="51">
        <v>27</v>
      </c>
      <c r="AC171" s="51">
        <v>28</v>
      </c>
      <c r="AD171" s="51">
        <v>29</v>
      </c>
      <c r="AE171" s="51">
        <v>30</v>
      </c>
      <c r="AF171" s="51">
        <v>31</v>
      </c>
      <c r="AG171" s="49">
        <v>32</v>
      </c>
      <c r="AH171" s="49">
        <v>33</v>
      </c>
      <c r="AI171" s="49">
        <v>34</v>
      </c>
      <c r="AJ171" s="49">
        <v>35</v>
      </c>
      <c r="AK171" s="49">
        <v>36</v>
      </c>
      <c r="AL171" s="49">
        <v>37</v>
      </c>
      <c r="AM171" s="49">
        <v>38</v>
      </c>
      <c r="AN171" s="49">
        <v>39</v>
      </c>
      <c r="AO171" s="49">
        <v>40</v>
      </c>
    </row>
    <row r="172" spans="1:152" x14ac:dyDescent="0.2">
      <c r="D172" s="52"/>
      <c r="E172" s="53"/>
      <c r="F172" s="52" t="s">
        <v>65</v>
      </c>
      <c r="G172" s="53" t="s">
        <v>66</v>
      </c>
      <c r="H172" s="32" t="s">
        <v>271</v>
      </c>
      <c r="I172" s="33" t="s">
        <v>64</v>
      </c>
      <c r="J172" s="32" t="s">
        <v>271</v>
      </c>
      <c r="K172" s="33" t="s">
        <v>271</v>
      </c>
      <c r="L172" s="32" t="s">
        <v>271</v>
      </c>
      <c r="M172" s="33" t="s">
        <v>271</v>
      </c>
      <c r="N172" s="32"/>
      <c r="O172" s="32"/>
      <c r="P172" s="32"/>
      <c r="Q172" s="32"/>
      <c r="S172" s="33"/>
      <c r="T172" s="33"/>
      <c r="U172" s="33"/>
      <c r="V172" s="33"/>
      <c r="Z172" s="33"/>
      <c r="AC172" s="33"/>
      <c r="AE172" s="32" t="s">
        <v>74</v>
      </c>
      <c r="AG172" s="33"/>
      <c r="AH172" s="34"/>
      <c r="AI172" s="34"/>
      <c r="AJ172" s="34"/>
      <c r="AK172" s="34"/>
      <c r="AL172" s="32" t="s">
        <v>202</v>
      </c>
      <c r="AM172" s="33" t="s">
        <v>276</v>
      </c>
      <c r="AN172" s="33" t="s">
        <v>276</v>
      </c>
      <c r="AO172" s="33" t="s">
        <v>277</v>
      </c>
    </row>
    <row r="173" spans="1:152" x14ac:dyDescent="0.2">
      <c r="D173" s="52" t="s">
        <v>1</v>
      </c>
      <c r="E173" s="53" t="s">
        <v>3</v>
      </c>
      <c r="F173" s="52" t="s">
        <v>269</v>
      </c>
      <c r="G173" s="53" t="s">
        <v>269</v>
      </c>
      <c r="H173" s="32" t="s">
        <v>270</v>
      </c>
      <c r="I173" s="33" t="s">
        <v>270</v>
      </c>
      <c r="J173" s="32" t="s">
        <v>91</v>
      </c>
      <c r="K173" s="33" t="s">
        <v>91</v>
      </c>
      <c r="L173" s="32" t="s">
        <v>92</v>
      </c>
      <c r="M173" s="33" t="s">
        <v>92</v>
      </c>
      <c r="N173" s="32" t="s">
        <v>70</v>
      </c>
      <c r="O173" s="32" t="s">
        <v>70</v>
      </c>
      <c r="P173" s="32" t="s">
        <v>1</v>
      </c>
      <c r="Q173" s="32" t="s">
        <v>1</v>
      </c>
      <c r="R173" s="13" t="s">
        <v>192</v>
      </c>
      <c r="S173" s="33" t="s">
        <v>71</v>
      </c>
      <c r="T173" s="33" t="s">
        <v>71</v>
      </c>
      <c r="U173" s="33" t="s">
        <v>3</v>
      </c>
      <c r="V173" s="33" t="s">
        <v>3</v>
      </c>
      <c r="W173" s="13" t="s">
        <v>192</v>
      </c>
      <c r="X173" s="13" t="s">
        <v>72</v>
      </c>
      <c r="Y173" s="13" t="s">
        <v>73</v>
      </c>
      <c r="Z173" s="33" t="s">
        <v>73</v>
      </c>
      <c r="AB173" s="13" t="s">
        <v>73</v>
      </c>
      <c r="AC173" s="33" t="s">
        <v>73</v>
      </c>
      <c r="AD173" s="13" t="s">
        <v>74</v>
      </c>
      <c r="AE173" s="32" t="s">
        <v>275</v>
      </c>
      <c r="AF173" s="13" t="s">
        <v>75</v>
      </c>
      <c r="AG173" s="33" t="s">
        <v>75</v>
      </c>
      <c r="AH173" s="34" t="s">
        <v>76</v>
      </c>
      <c r="AI173" s="34" t="s">
        <v>76</v>
      </c>
      <c r="AJ173" s="34" t="s">
        <v>76</v>
      </c>
      <c r="AK173" s="34" t="s">
        <v>76</v>
      </c>
      <c r="AL173" s="32" t="s">
        <v>197</v>
      </c>
      <c r="AM173" s="33" t="s">
        <v>199</v>
      </c>
      <c r="AN173" s="33" t="s">
        <v>203</v>
      </c>
      <c r="AO173" s="33" t="s">
        <v>200</v>
      </c>
      <c r="AP173" s="13" t="s">
        <v>77</v>
      </c>
    </row>
    <row r="174" spans="1:152" x14ac:dyDescent="0.2">
      <c r="C174" s="2" t="s">
        <v>78</v>
      </c>
      <c r="D174" s="52" t="s">
        <v>79</v>
      </c>
      <c r="E174" s="53" t="s">
        <v>80</v>
      </c>
      <c r="F174" s="52" t="s">
        <v>1</v>
      </c>
      <c r="G174" s="53" t="s">
        <v>3</v>
      </c>
      <c r="H174" s="32" t="s">
        <v>1</v>
      </c>
      <c r="I174" s="33" t="s">
        <v>3</v>
      </c>
      <c r="J174" s="32" t="s">
        <v>1</v>
      </c>
      <c r="K174" s="33" t="s">
        <v>3</v>
      </c>
      <c r="L174" s="32" t="s">
        <v>1</v>
      </c>
      <c r="M174" s="33" t="s">
        <v>3</v>
      </c>
      <c r="N174" s="32" t="s">
        <v>55</v>
      </c>
      <c r="O174" s="32" t="s">
        <v>55</v>
      </c>
      <c r="P174" s="32" t="s">
        <v>82</v>
      </c>
      <c r="Q174" s="32" t="s">
        <v>82</v>
      </c>
      <c r="R174" s="13" t="s">
        <v>193</v>
      </c>
      <c r="S174" s="33" t="s">
        <v>55</v>
      </c>
      <c r="T174" s="33" t="s">
        <v>55</v>
      </c>
      <c r="U174" s="33" t="s">
        <v>82</v>
      </c>
      <c r="V174" s="33" t="s">
        <v>82</v>
      </c>
      <c r="W174" s="13" t="s">
        <v>195</v>
      </c>
      <c r="X174" s="13" t="s">
        <v>83</v>
      </c>
      <c r="Y174" s="13" t="s">
        <v>82</v>
      </c>
      <c r="Z174" s="33" t="s">
        <v>84</v>
      </c>
      <c r="AB174" s="13" t="s">
        <v>84</v>
      </c>
      <c r="AC174" s="33" t="s">
        <v>84</v>
      </c>
      <c r="AD174" s="13" t="s">
        <v>275</v>
      </c>
      <c r="AE174" s="32" t="s">
        <v>274</v>
      </c>
      <c r="AF174" s="13" t="s">
        <v>275</v>
      </c>
      <c r="AG174" s="33" t="s">
        <v>275</v>
      </c>
      <c r="AH174" s="34" t="s">
        <v>86</v>
      </c>
      <c r="AI174" s="34" t="s">
        <v>87</v>
      </c>
      <c r="AJ174" s="34" t="s">
        <v>88</v>
      </c>
      <c r="AK174" s="34" t="s">
        <v>89</v>
      </c>
      <c r="AL174" s="32" t="s">
        <v>198</v>
      </c>
      <c r="AM174" s="33" t="s">
        <v>200</v>
      </c>
      <c r="AN174" s="33" t="s">
        <v>204</v>
      </c>
      <c r="AO174" s="33" t="s">
        <v>201</v>
      </c>
      <c r="AP174" s="13" t="s">
        <v>90</v>
      </c>
    </row>
    <row r="175" spans="1:152" x14ac:dyDescent="0.2">
      <c r="B175" s="2" t="s">
        <v>78</v>
      </c>
      <c r="D175" s="36"/>
      <c r="E175" s="36"/>
      <c r="F175" s="36"/>
      <c r="G175" s="36"/>
      <c r="H175" s="13" t="s">
        <v>105</v>
      </c>
      <c r="I175" s="13" t="s">
        <v>105</v>
      </c>
      <c r="J175" s="13" t="s">
        <v>105</v>
      </c>
      <c r="K175" s="13" t="s">
        <v>105</v>
      </c>
      <c r="L175" s="13" t="s">
        <v>105</v>
      </c>
      <c r="M175" s="13" t="s">
        <v>105</v>
      </c>
      <c r="N175" s="35"/>
      <c r="O175" s="32" t="s">
        <v>92</v>
      </c>
      <c r="P175" s="16" t="s">
        <v>91</v>
      </c>
      <c r="Q175" s="16" t="s">
        <v>92</v>
      </c>
      <c r="R175" s="13" t="s">
        <v>194</v>
      </c>
      <c r="S175" s="16" t="s">
        <v>91</v>
      </c>
      <c r="T175" s="16" t="s">
        <v>92</v>
      </c>
      <c r="U175" s="16" t="s">
        <v>91</v>
      </c>
      <c r="V175" s="16" t="s">
        <v>92</v>
      </c>
      <c r="W175" s="13" t="s">
        <v>194</v>
      </c>
      <c r="X175" s="13" t="s">
        <v>273</v>
      </c>
      <c r="Y175" s="13" t="s">
        <v>273</v>
      </c>
      <c r="Z175" s="2"/>
      <c r="AB175" s="13" t="s">
        <v>273</v>
      </c>
      <c r="AC175" s="13" t="s">
        <v>274</v>
      </c>
      <c r="AD175" s="13" t="s">
        <v>273</v>
      </c>
      <c r="AE175" s="32" t="s">
        <v>100</v>
      </c>
      <c r="AF175" s="13" t="s">
        <v>273</v>
      </c>
      <c r="AG175" s="33" t="s">
        <v>274</v>
      </c>
      <c r="AH175" s="13" t="s">
        <v>103</v>
      </c>
      <c r="AI175" s="13" t="s">
        <v>95</v>
      </c>
      <c r="AJ175" s="2" t="s">
        <v>103</v>
      </c>
      <c r="AK175" s="2" t="s">
        <v>95</v>
      </c>
      <c r="AL175" s="32"/>
      <c r="AM175" s="33" t="s">
        <v>201</v>
      </c>
      <c r="AN175" s="33"/>
      <c r="AO175" s="33"/>
      <c r="AP175" s="13" t="s">
        <v>96</v>
      </c>
    </row>
    <row r="176" spans="1:152" x14ac:dyDescent="0.2">
      <c r="D176" s="36"/>
      <c r="E176" s="36"/>
      <c r="F176" s="36"/>
      <c r="G176" s="36"/>
      <c r="H176" s="37"/>
      <c r="I176" s="37"/>
      <c r="J176" s="37"/>
      <c r="K176" s="37"/>
      <c r="L176" s="37"/>
      <c r="M176" s="37"/>
      <c r="N176" s="35"/>
      <c r="O176" s="35"/>
      <c r="P176" s="16"/>
      <c r="Q176" s="16"/>
      <c r="R176" s="18"/>
      <c r="S176" s="35"/>
      <c r="T176" s="35"/>
      <c r="U176" s="16"/>
      <c r="V176" s="16"/>
      <c r="W176" s="18"/>
      <c r="X176" s="18"/>
      <c r="Y176" s="18"/>
      <c r="Z176" s="16"/>
      <c r="AA176" s="18"/>
      <c r="AB176" s="18"/>
      <c r="AC176" s="18"/>
      <c r="AG176" s="33" t="s">
        <v>101</v>
      </c>
      <c r="AH176" s="19"/>
      <c r="AI176" s="19"/>
      <c r="AJ176" s="40"/>
      <c r="AK176" s="40"/>
      <c r="AL176" s="2" t="s">
        <v>206</v>
      </c>
      <c r="AM176" s="2" t="s">
        <v>207</v>
      </c>
      <c r="AN176" s="2" t="s">
        <v>206</v>
      </c>
    </row>
    <row r="177" spans="2:42" x14ac:dyDescent="0.2">
      <c r="B177" s="2">
        <v>1</v>
      </c>
      <c r="C177" s="2">
        <v>2009</v>
      </c>
      <c r="D177" s="36">
        <f>$C$9</f>
        <v>14</v>
      </c>
      <c r="E177" s="36">
        <f>$C$9</f>
        <v>14</v>
      </c>
      <c r="F177" s="36">
        <f>($C$10/16)</f>
        <v>2</v>
      </c>
      <c r="G177" s="36">
        <f>($C$10/16)</f>
        <v>2</v>
      </c>
      <c r="H177" s="20">
        <f t="shared" ref="H177:H216" si="80">((1.52968*(F177^2))+(9.58615*F177)-13.35212)+(((1.7962-(0.27465*(F177^2))-(2.59995*F177))*$D177))+(((0.04482-(0.00961*(F177^2))+(0.45997*F177))*($D177^2)))</f>
        <v>130.46541999999999</v>
      </c>
      <c r="I177" s="20">
        <f t="shared" ref="I177:I216" si="81">((1.52968*(G177^2))+(9.58615*G177)-13.35212)+(((1.7962-(0.27465*(G177^2))-(2.59995*G177))*$E177))+(((0.04482-(0.00961*(G177^2))+(0.45997*G177))*($E177^2)))</f>
        <v>130.46541999999999</v>
      </c>
      <c r="J177" s="37">
        <f t="shared" ref="J177:J216" si="82">((1.52968*($H$16^2))+(9.58615*$H$16)-13.35212)+(((1.7962-(0.27465*($H$16^2))-(2.59995*$H$16))*$D177))+(((0.04482-(0.00961*($H$16^2))+(0.45997*$H$16))*($D177^2)))</f>
        <v>51.200139999999998</v>
      </c>
      <c r="K177" s="37">
        <f t="shared" ref="K177:K216" si="83">((1.52968*($H$16^2))+(9.58615*$H$16)-13.35212)+(((1.7962-(0.27465*($H$16^2))-(2.59995*$H$16))*$E177))+(((0.04482-(0.00961*($H$16^2))+(0.45997*$H$16))*($E177^2)))</f>
        <v>51.200139999999998</v>
      </c>
      <c r="L177" s="37">
        <f t="shared" ref="L177:L216" si="84">H177-J177</f>
        <v>79.26527999999999</v>
      </c>
      <c r="M177" s="37">
        <f t="shared" ref="M177:M216" si="85">I177-K177</f>
        <v>79.26527999999999</v>
      </c>
      <c r="N177" s="38">
        <f t="shared" ref="N177:N216" si="86">IF($C$18="red",((VLOOKUP(($D177-($C$21*2)),$F$38:$K$42,4))+(($C177-$C$177)*$H$17)),((VLOOKUP(($D177-($C$21*2)),$F$38:$K$42,3)))+(($C177-$C$177)*$H$17))</f>
        <v>175</v>
      </c>
      <c r="O177" s="38">
        <f t="shared" ref="O177:O216" si="87">IF($C$18="red",((VLOOKUP((($D177-(($C$22*2)+2))),$F$38:$K$42,4))+(($C177-$C$177)*$H$19)),((VLOOKUP(($D177-(($C$22*2)+2)),$F$38:$K$42,3)))+(($C177-$C$177)*$H$19))</f>
        <v>125</v>
      </c>
      <c r="P177" s="16">
        <f t="shared" ref="P177:P216" si="88">J177*(N177/1000)</f>
        <v>8.9600244999999994</v>
      </c>
      <c r="Q177" s="16">
        <f t="shared" ref="Q177:Q216" si="89">L177*(O177/1000)</f>
        <v>9.9081599999999987</v>
      </c>
      <c r="R177" s="18">
        <f t="shared" ref="R177:R216" si="90">-((P177+Q177)*$C$45)</f>
        <v>-2.8302276749999997</v>
      </c>
      <c r="S177" s="38">
        <f t="shared" ref="S177:S216" si="91">IF($C$18="red",((VLOOKUP((E177-($C$21*2)),$F$38:$K$42,6))+((B177-$B$177)*$H$18)),((VLOOKUP((E177-($C$21*2)),$F$38:$K$42,5)))+((B177-$B$177)*$H$18))</f>
        <v>57.75</v>
      </c>
      <c r="T177" s="38">
        <f t="shared" ref="T177:T216" si="92">IF($C$18="red",((VLOOKUP(($E177-(($C$22*2)+2)),$F$38:$K$42,4))+(($B177-$B$177)*$H$19)),((VLOOKUP(($E177-(($C$22*2)+2)),$F$38:$K$42,3)))+(($B177-$B$177)*$H$19))</f>
        <v>125</v>
      </c>
      <c r="U177" s="16">
        <f t="shared" ref="U177:U216" si="93">K177*(S177/1000)</f>
        <v>2.956808085</v>
      </c>
      <c r="V177" s="16">
        <f t="shared" ref="V177:V216" si="94">M177*(T177/1000)</f>
        <v>9.9081599999999987</v>
      </c>
      <c r="W177" s="18">
        <f t="shared" ref="W177:W216" si="95">-((U177+V177)*$C$45)</f>
        <v>-1.9297452127499999</v>
      </c>
      <c r="X177" s="18">
        <f t="shared" ref="X177:X216" si="96">(P177+Q177+R177)/((1+$C$44)^(C177-$C$177))</f>
        <v>16.037956824999998</v>
      </c>
      <c r="Y177" s="18">
        <f t="shared" ref="Y177:Y216" si="97">(U177+V177)/((1+$C$44)^(C177-$C$177))</f>
        <v>12.864968084999999</v>
      </c>
      <c r="Z177" s="16">
        <f>$C$31</f>
        <v>0.5</v>
      </c>
      <c r="AA177" s="18">
        <f t="shared" ref="AA177:AA216" si="98">-(Z177*$C$46)</f>
        <v>-7.4999999999999997E-2</v>
      </c>
      <c r="AB177" s="18">
        <f t="shared" ref="AB177:AB216" si="99">(Z177+AA177)/((1+$C$44)^(C177-$C$177))</f>
        <v>0.42499999999999999</v>
      </c>
      <c r="AC177" s="18">
        <f>AB176+AB177</f>
        <v>0.42499999999999999</v>
      </c>
      <c r="AD177" s="18">
        <f t="shared" ref="AD177:AD216" si="100">-(($H$30+((C177-$C$177)*$H$26)) / ((1+$C$44)^(C177-$C$177)))</f>
        <v>-0.12</v>
      </c>
      <c r="AE177" s="18">
        <f>AD176+AD177</f>
        <v>-0.12</v>
      </c>
      <c r="AF177" s="18">
        <f t="shared" ref="AF177:AF216" si="101">-(($H$31+((C177-$C$177)*$H$27)) / ((1+$C$44)^(C177-$C$177)))</f>
        <v>-2.8799999999999996E-2</v>
      </c>
      <c r="AG177" s="18">
        <f>AF176+AF177</f>
        <v>-2.8799999999999996E-2</v>
      </c>
      <c r="AH177" s="19">
        <f t="shared" ref="AH177:AH216" si="102">AM177-AL177</f>
        <v>-2.6567887399999996</v>
      </c>
      <c r="AI177" s="19">
        <f t="shared" ref="AI177:AI216" si="103">AM177-AN177</f>
        <v>-2.6567887399999996</v>
      </c>
      <c r="AJ177" s="40">
        <f t="shared" ref="AJ177:AJ216" si="104">AO177-AL177</f>
        <v>-15.521756824999999</v>
      </c>
      <c r="AK177" s="40">
        <f t="shared" ref="AK177:AK216" si="105">AO177-AN177</f>
        <v>-15.521756824999999</v>
      </c>
      <c r="AL177" s="40">
        <f t="shared" ref="AL177:AL216" si="106">X177+AE177</f>
        <v>15.917956824999999</v>
      </c>
      <c r="AM177" s="40">
        <f t="shared" ref="AM177:AM216" si="107">Y177+AC177+AG177</f>
        <v>13.261168085</v>
      </c>
      <c r="AN177" s="40">
        <f>$X$177+$AE$177</f>
        <v>15.917956824999999</v>
      </c>
      <c r="AO177" s="40">
        <f t="shared" ref="AO177:AO216" si="108">AC177+AG177</f>
        <v>0.3962</v>
      </c>
      <c r="AP177" s="17">
        <f t="shared" ref="AP177:AP216" si="109">X177/(P177+Q177)</f>
        <v>0.85</v>
      </c>
    </row>
    <row r="178" spans="2:42" x14ac:dyDescent="0.2">
      <c r="B178" s="2">
        <v>2</v>
      </c>
      <c r="C178" s="2">
        <f t="shared" ref="C178:C216" si="110">C177+1</f>
        <v>2010</v>
      </c>
      <c r="D178" s="36">
        <f t="shared" ref="D178:D216" si="111">D177+($C$14*(1-$C$17)^($C178-$C$177))</f>
        <v>14.099</v>
      </c>
      <c r="E178" s="36">
        <f t="shared" ref="E178:E216" si="112">E177+($H$13*(1-$C$17)^($C178-$C$177))</f>
        <v>14.0891</v>
      </c>
      <c r="F178" s="36">
        <f>F177+(($C$11/16)*(1-$C$13)^($C178-$C$127))</f>
        <v>2.0309374999999998</v>
      </c>
      <c r="G178" s="36">
        <f>G177+(($H$14/16)*(1-$C$13)^($C178-$C$127))</f>
        <v>2.0278437500000002</v>
      </c>
      <c r="H178" s="20">
        <f t="shared" si="80"/>
        <v>134.05739684624382</v>
      </c>
      <c r="I178" s="20">
        <f t="shared" si="81"/>
        <v>133.69549677370173</v>
      </c>
      <c r="J178" s="37">
        <f t="shared" si="82"/>
        <v>52.000238234402502</v>
      </c>
      <c r="K178" s="37">
        <f t="shared" si="83"/>
        <v>51.919988127441023</v>
      </c>
      <c r="L178" s="37">
        <f t="shared" si="84"/>
        <v>82.057158611841317</v>
      </c>
      <c r="M178" s="37">
        <f t="shared" si="85"/>
        <v>81.775508646260704</v>
      </c>
      <c r="N178" s="38">
        <f t="shared" si="86"/>
        <v>182.875</v>
      </c>
      <c r="O178" s="38">
        <f t="shared" si="87"/>
        <v>130.625</v>
      </c>
      <c r="P178" s="16">
        <f t="shared" si="88"/>
        <v>9.5095435671163582</v>
      </c>
      <c r="Q178" s="16">
        <f t="shared" si="89"/>
        <v>10.718716343671771</v>
      </c>
      <c r="R178" s="18">
        <f t="shared" si="90"/>
        <v>-3.0342389866182193</v>
      </c>
      <c r="S178" s="38">
        <f t="shared" si="91"/>
        <v>60.348750000000003</v>
      </c>
      <c r="T178" s="38">
        <f t="shared" si="92"/>
        <v>130.625</v>
      </c>
      <c r="U178" s="16">
        <f t="shared" si="93"/>
        <v>3.1333063835059063</v>
      </c>
      <c r="V178" s="16">
        <f t="shared" si="94"/>
        <v>10.681925816917804</v>
      </c>
      <c r="W178" s="18">
        <f t="shared" si="95"/>
        <v>-2.0722848300635568</v>
      </c>
      <c r="X178" s="18">
        <f t="shared" si="96"/>
        <v>16.532712427086452</v>
      </c>
      <c r="Y178" s="18">
        <f t="shared" si="97"/>
        <v>13.283877115792031</v>
      </c>
      <c r="Z178" s="16">
        <f t="shared" ref="Z178:Z216" si="113">IF(E178&lt;$C$34,($C$31+((C178-$C$177)*$H$24)),(2*$C$31)+((C178-$C$177)*(2*$H$24)))</f>
        <v>0.5</v>
      </c>
      <c r="AA178" s="18">
        <f t="shared" si="98"/>
        <v>-7.4999999999999997E-2</v>
      </c>
      <c r="AB178" s="18">
        <f t="shared" si="99"/>
        <v>0.40865384615384615</v>
      </c>
      <c r="AC178" s="18">
        <f t="shared" ref="AC178:AC216" si="114">AC177+AB178</f>
        <v>0.83365384615384608</v>
      </c>
      <c r="AD178" s="18">
        <f t="shared" si="100"/>
        <v>-0.11769230769230768</v>
      </c>
      <c r="AE178" s="18">
        <f t="shared" ref="AE178:AE216" si="115">AE177+AD178</f>
        <v>-0.23769230769230767</v>
      </c>
      <c r="AF178" s="18">
        <f t="shared" si="101"/>
        <v>-2.8246153846153841E-2</v>
      </c>
      <c r="AG178" s="18">
        <f>AF177+AF178</f>
        <v>-5.7046153846153837E-2</v>
      </c>
      <c r="AH178" s="19">
        <f t="shared" si="102"/>
        <v>-2.2345353112944224</v>
      </c>
      <c r="AI178" s="19">
        <f t="shared" si="103"/>
        <v>-1.8574720169002763</v>
      </c>
      <c r="AJ178" s="40">
        <f t="shared" si="104"/>
        <v>-15.518412427086453</v>
      </c>
      <c r="AK178" s="40">
        <f t="shared" si="105"/>
        <v>-15.141349132692307</v>
      </c>
      <c r="AL178" s="40">
        <f t="shared" si="106"/>
        <v>16.295020119394145</v>
      </c>
      <c r="AM178" s="40">
        <f t="shared" si="107"/>
        <v>14.060484808099723</v>
      </c>
      <c r="AN178" s="40">
        <f t="shared" ref="AN178:AN216" si="116">$X$177+$AE$177</f>
        <v>15.917956824999999</v>
      </c>
      <c r="AO178" s="40">
        <f t="shared" si="108"/>
        <v>0.77660769230769222</v>
      </c>
      <c r="AP178" s="17">
        <f t="shared" si="109"/>
        <v>0.81730769230769229</v>
      </c>
    </row>
    <row r="179" spans="2:42" x14ac:dyDescent="0.2">
      <c r="B179" s="2">
        <v>3</v>
      </c>
      <c r="C179" s="2">
        <f t="shared" si="110"/>
        <v>2011</v>
      </c>
      <c r="D179" s="36">
        <f t="shared" si="111"/>
        <v>14.197010000000001</v>
      </c>
      <c r="E179" s="36">
        <f t="shared" si="112"/>
        <v>14.177309000000001</v>
      </c>
      <c r="F179" s="36">
        <f t="shared" ref="F179:F216" si="117">($C$10/16)+(($C$11*($C179-$C$127))/16)</f>
        <v>2.0625</v>
      </c>
      <c r="G179" s="36">
        <f t="shared" ref="G179:G216" si="118">($C$10/16)+(($H$14*($C179-$C$127))/16)</f>
        <v>2.0562499999999999</v>
      </c>
      <c r="H179" s="20">
        <f t="shared" si="80"/>
        <v>137.71727072015233</v>
      </c>
      <c r="I179" s="20">
        <f t="shared" si="81"/>
        <v>136.98124209367123</v>
      </c>
      <c r="J179" s="37">
        <f t="shared" si="82"/>
        <v>52.797595292740596</v>
      </c>
      <c r="K179" s="37">
        <f t="shared" si="83"/>
        <v>52.636898216694135</v>
      </c>
      <c r="L179" s="37">
        <f t="shared" si="84"/>
        <v>84.919675427411732</v>
      </c>
      <c r="M179" s="37">
        <f t="shared" si="85"/>
        <v>84.344343876977092</v>
      </c>
      <c r="N179" s="38">
        <f t="shared" si="86"/>
        <v>190.75</v>
      </c>
      <c r="O179" s="38">
        <f t="shared" si="87"/>
        <v>136.25</v>
      </c>
      <c r="P179" s="16">
        <f t="shared" si="88"/>
        <v>10.071141302090268</v>
      </c>
      <c r="Q179" s="16">
        <f t="shared" si="89"/>
        <v>11.570305776984849</v>
      </c>
      <c r="R179" s="18">
        <f t="shared" si="90"/>
        <v>-3.2462170618612674</v>
      </c>
      <c r="S179" s="38">
        <f t="shared" si="91"/>
        <v>62.947499999999998</v>
      </c>
      <c r="T179" s="38">
        <f t="shared" si="92"/>
        <v>136.25</v>
      </c>
      <c r="U179" s="16">
        <f t="shared" si="93"/>
        <v>3.3133611504953544</v>
      </c>
      <c r="V179" s="16">
        <f t="shared" si="94"/>
        <v>11.491916853238129</v>
      </c>
      <c r="W179" s="18">
        <f t="shared" si="95"/>
        <v>-2.2207917005600226</v>
      </c>
      <c r="X179" s="18">
        <f t="shared" si="96"/>
        <v>17.007424202305703</v>
      </c>
      <c r="Y179" s="18">
        <f t="shared" si="97"/>
        <v>13.688311763806844</v>
      </c>
      <c r="Z179" s="16">
        <f t="shared" si="113"/>
        <v>0.5</v>
      </c>
      <c r="AA179" s="18">
        <f t="shared" si="98"/>
        <v>-7.4999999999999997E-2</v>
      </c>
      <c r="AB179" s="18">
        <f t="shared" si="99"/>
        <v>0.39293639053254431</v>
      </c>
      <c r="AC179" s="18">
        <f t="shared" si="114"/>
        <v>1.2265902366863903</v>
      </c>
      <c r="AD179" s="18">
        <f t="shared" si="100"/>
        <v>-0.11538461538461536</v>
      </c>
      <c r="AE179" s="18">
        <f t="shared" si="115"/>
        <v>-0.35307692307692307</v>
      </c>
      <c r="AF179" s="18">
        <f t="shared" si="101"/>
        <v>-2.7692307692307686E-2</v>
      </c>
      <c r="AG179" s="18">
        <f t="shared" ref="AG179:AG216" si="119">AG178+AF179</f>
        <v>-8.4738461538461526E-2</v>
      </c>
      <c r="AH179" s="19">
        <f t="shared" si="102"/>
        <v>-1.8241837402740071</v>
      </c>
      <c r="AI179" s="19">
        <f t="shared" si="103"/>
        <v>-1.0877932860452262</v>
      </c>
      <c r="AJ179" s="40">
        <f t="shared" si="104"/>
        <v>-15.512495504080851</v>
      </c>
      <c r="AK179" s="40">
        <f t="shared" si="105"/>
        <v>-14.77610504985207</v>
      </c>
      <c r="AL179" s="40">
        <f t="shared" si="106"/>
        <v>16.65434727922878</v>
      </c>
      <c r="AM179" s="40">
        <f t="shared" si="107"/>
        <v>14.830163538954773</v>
      </c>
      <c r="AN179" s="40">
        <f t="shared" si="116"/>
        <v>15.917956824999999</v>
      </c>
      <c r="AO179" s="40">
        <f t="shared" si="108"/>
        <v>1.1418517751479289</v>
      </c>
      <c r="AP179" s="17">
        <f t="shared" si="109"/>
        <v>0.78587278106508873</v>
      </c>
    </row>
    <row r="180" spans="2:42" x14ac:dyDescent="0.2">
      <c r="B180" s="2">
        <v>4</v>
      </c>
      <c r="C180" s="2">
        <f t="shared" si="110"/>
        <v>2012</v>
      </c>
      <c r="D180" s="36">
        <f t="shared" si="111"/>
        <v>14.294039900000001</v>
      </c>
      <c r="E180" s="36">
        <f t="shared" si="112"/>
        <v>14.264635910000001</v>
      </c>
      <c r="F180" s="36">
        <f t="shared" si="117"/>
        <v>2.09375</v>
      </c>
      <c r="G180" s="36">
        <f t="shared" si="118"/>
        <v>2.0843750000000001</v>
      </c>
      <c r="H180" s="20">
        <f t="shared" si="80"/>
        <v>141.40025682034513</v>
      </c>
      <c r="I180" s="20">
        <f t="shared" si="81"/>
        <v>140.28243794663885</v>
      </c>
      <c r="J180" s="37">
        <f t="shared" si="82"/>
        <v>53.592133916629962</v>
      </c>
      <c r="K180" s="37">
        <f t="shared" si="83"/>
        <v>53.350814865323777</v>
      </c>
      <c r="L180" s="37">
        <f t="shared" si="84"/>
        <v>87.808122903715173</v>
      </c>
      <c r="M180" s="37">
        <f t="shared" si="85"/>
        <v>86.931623081315081</v>
      </c>
      <c r="N180" s="38">
        <f t="shared" si="86"/>
        <v>198.625</v>
      </c>
      <c r="O180" s="38">
        <f t="shared" si="87"/>
        <v>141.875</v>
      </c>
      <c r="P180" s="16">
        <f t="shared" si="88"/>
        <v>10.644737599190625</v>
      </c>
      <c r="Q180" s="16">
        <f t="shared" si="89"/>
        <v>12.457777436964591</v>
      </c>
      <c r="R180" s="18">
        <f t="shared" si="90"/>
        <v>-3.4653772554232827</v>
      </c>
      <c r="S180" s="38">
        <f t="shared" si="91"/>
        <v>65.546250000000001</v>
      </c>
      <c r="T180" s="38">
        <f t="shared" si="92"/>
        <v>141.875</v>
      </c>
      <c r="U180" s="16">
        <f t="shared" si="93"/>
        <v>3.4969458488662286</v>
      </c>
      <c r="V180" s="16">
        <f t="shared" si="94"/>
        <v>12.333424024661577</v>
      </c>
      <c r="W180" s="18">
        <f t="shared" si="95"/>
        <v>-2.3745554810291707</v>
      </c>
      <c r="X180" s="18">
        <f t="shared" si="96"/>
        <v>17.457343981789737</v>
      </c>
      <c r="Y180" s="18">
        <f t="shared" si="97"/>
        <v>14.07314117397997</v>
      </c>
      <c r="Z180" s="16">
        <f t="shared" si="113"/>
        <v>0.5</v>
      </c>
      <c r="AA180" s="18">
        <f t="shared" si="98"/>
        <v>-7.4999999999999997E-2</v>
      </c>
      <c r="AB180" s="18">
        <f t="shared" si="99"/>
        <v>0.37782345243513876</v>
      </c>
      <c r="AC180" s="18">
        <f t="shared" si="114"/>
        <v>1.604413689121529</v>
      </c>
      <c r="AD180" s="18">
        <f t="shared" si="100"/>
        <v>-0.11308033682294037</v>
      </c>
      <c r="AE180" s="18">
        <f t="shared" si="115"/>
        <v>-0.46615725989986345</v>
      </c>
      <c r="AF180" s="18">
        <f t="shared" si="101"/>
        <v>-2.7139280837505685E-2</v>
      </c>
      <c r="AG180" s="18">
        <f t="shared" si="119"/>
        <v>-0.1118777423759672</v>
      </c>
      <c r="AH180" s="19">
        <f t="shared" si="102"/>
        <v>-1.4255096011643431</v>
      </c>
      <c r="AI180" s="19">
        <f t="shared" si="103"/>
        <v>-0.35227970427446742</v>
      </c>
      <c r="AJ180" s="40">
        <f t="shared" si="104"/>
        <v>-15.498650775144313</v>
      </c>
      <c r="AK180" s="40">
        <f t="shared" si="105"/>
        <v>-14.425420878254437</v>
      </c>
      <c r="AL180" s="40">
        <f t="shared" si="106"/>
        <v>16.991186721889875</v>
      </c>
      <c r="AM180" s="40">
        <f t="shared" si="107"/>
        <v>15.565677120725532</v>
      </c>
      <c r="AN180" s="40">
        <f t="shared" si="116"/>
        <v>15.917956824999999</v>
      </c>
      <c r="AO180" s="40">
        <f t="shared" si="108"/>
        <v>1.4925359467455619</v>
      </c>
      <c r="AP180" s="17">
        <f t="shared" si="109"/>
        <v>0.75564690487027752</v>
      </c>
    </row>
    <row r="181" spans="2:42" x14ac:dyDescent="0.2">
      <c r="B181" s="2">
        <v>5</v>
      </c>
      <c r="C181" s="2">
        <f t="shared" si="110"/>
        <v>2013</v>
      </c>
      <c r="D181" s="36">
        <f t="shared" si="111"/>
        <v>14.390099501000002</v>
      </c>
      <c r="E181" s="36">
        <f t="shared" si="112"/>
        <v>14.351089550900001</v>
      </c>
      <c r="F181" s="36">
        <f t="shared" si="117"/>
        <v>2.125</v>
      </c>
      <c r="G181" s="36">
        <f t="shared" si="118"/>
        <v>2.1124999999999998</v>
      </c>
      <c r="H181" s="20">
        <f t="shared" si="80"/>
        <v>145.1204238454219</v>
      </c>
      <c r="I181" s="20">
        <f t="shared" si="81"/>
        <v>143.61177591672953</v>
      </c>
      <c r="J181" s="37">
        <f t="shared" si="82"/>
        <v>54.383779703205995</v>
      </c>
      <c r="K181" s="37">
        <f t="shared" si="83"/>
        <v>54.06168491209683</v>
      </c>
      <c r="L181" s="37">
        <f t="shared" si="84"/>
        <v>90.736644142215908</v>
      </c>
      <c r="M181" s="37">
        <f t="shared" si="85"/>
        <v>89.550091004632691</v>
      </c>
      <c r="N181" s="38">
        <f t="shared" si="86"/>
        <v>206.5</v>
      </c>
      <c r="O181" s="38">
        <f t="shared" si="87"/>
        <v>147.5</v>
      </c>
      <c r="P181" s="16">
        <f t="shared" si="88"/>
        <v>11.230250508712038</v>
      </c>
      <c r="Q181" s="16">
        <f t="shared" si="89"/>
        <v>13.383655010976845</v>
      </c>
      <c r="R181" s="18">
        <f t="shared" si="90"/>
        <v>-3.6920858279533326</v>
      </c>
      <c r="S181" s="38">
        <f t="shared" si="91"/>
        <v>68.144999999999996</v>
      </c>
      <c r="T181" s="38">
        <f t="shared" si="92"/>
        <v>147.5</v>
      </c>
      <c r="U181" s="16">
        <f t="shared" si="93"/>
        <v>3.6840335183348385</v>
      </c>
      <c r="V181" s="16">
        <f t="shared" si="94"/>
        <v>13.208638423183322</v>
      </c>
      <c r="W181" s="18">
        <f t="shared" si="95"/>
        <v>-2.5339007912277238</v>
      </c>
      <c r="X181" s="18">
        <f t="shared" si="96"/>
        <v>17.884059156463795</v>
      </c>
      <c r="Y181" s="18">
        <f t="shared" si="97"/>
        <v>14.439926773299977</v>
      </c>
      <c r="Z181" s="16">
        <f t="shared" si="113"/>
        <v>0.5</v>
      </c>
      <c r="AA181" s="18">
        <f t="shared" si="98"/>
        <v>-7.4999999999999997E-2</v>
      </c>
      <c r="AB181" s="18">
        <f t="shared" si="99"/>
        <v>0.36329178118763339</v>
      </c>
      <c r="AC181" s="18">
        <f t="shared" si="114"/>
        <v>1.9677054703091623</v>
      </c>
      <c r="AD181" s="18">
        <f t="shared" si="100"/>
        <v>-0.11078262315745245</v>
      </c>
      <c r="AE181" s="18">
        <f t="shared" si="115"/>
        <v>-0.57693988305731592</v>
      </c>
      <c r="AF181" s="18">
        <f t="shared" si="101"/>
        <v>-2.6587829557788586E-2</v>
      </c>
      <c r="AG181" s="18">
        <f t="shared" si="119"/>
        <v>-0.1384655719337558</v>
      </c>
      <c r="AH181" s="19">
        <f t="shared" si="102"/>
        <v>-1.0379526017310958</v>
      </c>
      <c r="AI181" s="19">
        <f t="shared" si="103"/>
        <v>0.35120984667538302</v>
      </c>
      <c r="AJ181" s="40">
        <f t="shared" si="104"/>
        <v>-15.477879375031071</v>
      </c>
      <c r="AK181" s="40">
        <f t="shared" si="105"/>
        <v>-14.088716926624592</v>
      </c>
      <c r="AL181" s="40">
        <f t="shared" si="106"/>
        <v>17.307119273406478</v>
      </c>
      <c r="AM181" s="40">
        <f t="shared" si="107"/>
        <v>16.269166671675382</v>
      </c>
      <c r="AN181" s="40">
        <f t="shared" si="116"/>
        <v>15.917956824999999</v>
      </c>
      <c r="AO181" s="40">
        <f t="shared" si="108"/>
        <v>1.8292398983754066</v>
      </c>
      <c r="AP181" s="17">
        <f t="shared" si="109"/>
        <v>0.72658356237526689</v>
      </c>
    </row>
    <row r="182" spans="2:42" x14ac:dyDescent="0.2">
      <c r="B182" s="2">
        <v>6</v>
      </c>
      <c r="C182" s="2">
        <f t="shared" si="110"/>
        <v>2014</v>
      </c>
      <c r="D182" s="36">
        <f t="shared" si="111"/>
        <v>14.485198505990002</v>
      </c>
      <c r="E182" s="36">
        <f t="shared" si="112"/>
        <v>14.436678655391001</v>
      </c>
      <c r="F182" s="36">
        <f t="shared" si="117"/>
        <v>2.15625</v>
      </c>
      <c r="G182" s="36">
        <f t="shared" si="118"/>
        <v>2.140625</v>
      </c>
      <c r="H182" s="20">
        <f t="shared" si="80"/>
        <v>148.87712100775758</v>
      </c>
      <c r="I182" s="20">
        <f t="shared" si="81"/>
        <v>146.96871769121799</v>
      </c>
      <c r="J182" s="37">
        <f t="shared" si="82"/>
        <v>55.172461035118239</v>
      </c>
      <c r="K182" s="37">
        <f t="shared" si="83"/>
        <v>54.769457380995732</v>
      </c>
      <c r="L182" s="37">
        <f t="shared" si="84"/>
        <v>93.704659972639348</v>
      </c>
      <c r="M182" s="37">
        <f t="shared" si="85"/>
        <v>92.199260310222257</v>
      </c>
      <c r="N182" s="38">
        <f t="shared" si="86"/>
        <v>214.375</v>
      </c>
      <c r="O182" s="38">
        <f t="shared" si="87"/>
        <v>153.125</v>
      </c>
      <c r="P182" s="16">
        <f t="shared" si="88"/>
        <v>11.827596334403474</v>
      </c>
      <c r="Q182" s="16">
        <f t="shared" si="89"/>
        <v>14.348526058310402</v>
      </c>
      <c r="R182" s="18">
        <f t="shared" si="90"/>
        <v>-3.9264183589070809</v>
      </c>
      <c r="S182" s="38">
        <f t="shared" si="91"/>
        <v>70.743750000000006</v>
      </c>
      <c r="T182" s="38">
        <f t="shared" si="92"/>
        <v>153.125</v>
      </c>
      <c r="U182" s="16">
        <f t="shared" si="93"/>
        <v>3.8745968005968172</v>
      </c>
      <c r="V182" s="16">
        <f t="shared" si="94"/>
        <v>14.118011735002785</v>
      </c>
      <c r="W182" s="18">
        <f t="shared" si="95"/>
        <v>-2.6988912803399399</v>
      </c>
      <c r="X182" s="18">
        <f t="shared" si="96"/>
        <v>18.28763486275869</v>
      </c>
      <c r="Y182" s="18">
        <f t="shared" si="97"/>
        <v>14.788612676718992</v>
      </c>
      <c r="Z182" s="16">
        <f t="shared" si="113"/>
        <v>0.5</v>
      </c>
      <c r="AA182" s="18">
        <f t="shared" si="98"/>
        <v>-7.4999999999999997E-2</v>
      </c>
      <c r="AB182" s="18">
        <f t="shared" si="99"/>
        <v>0.34931902037272439</v>
      </c>
      <c r="AC182" s="18">
        <f t="shared" si="114"/>
        <v>2.3170244906818867</v>
      </c>
      <c r="AD182" s="18">
        <f t="shared" si="100"/>
        <v>-0.1084943780922344</v>
      </c>
      <c r="AE182" s="18">
        <f t="shared" si="115"/>
        <v>-0.68543426114955031</v>
      </c>
      <c r="AF182" s="18">
        <f t="shared" si="101"/>
        <v>-2.6038650742136252E-2</v>
      </c>
      <c r="AG182" s="18">
        <f t="shared" si="119"/>
        <v>-0.16450422267589204</v>
      </c>
      <c r="AH182" s="19">
        <f t="shared" si="102"/>
        <v>-0.66106765688415337</v>
      </c>
      <c r="AI182" s="19">
        <f t="shared" si="103"/>
        <v>1.0231761197249885</v>
      </c>
      <c r="AJ182" s="40">
        <f t="shared" si="104"/>
        <v>-15.449680333603146</v>
      </c>
      <c r="AK182" s="40">
        <f t="shared" si="105"/>
        <v>-13.765436556994004</v>
      </c>
      <c r="AL182" s="40">
        <f t="shared" si="106"/>
        <v>17.602200601609141</v>
      </c>
      <c r="AM182" s="40">
        <f t="shared" si="107"/>
        <v>16.941132944724988</v>
      </c>
      <c r="AN182" s="40">
        <f t="shared" si="116"/>
        <v>15.917956824999999</v>
      </c>
      <c r="AO182" s="40">
        <f t="shared" si="108"/>
        <v>2.1525202680059947</v>
      </c>
      <c r="AP182" s="17">
        <f t="shared" si="109"/>
        <v>0.69863804074544877</v>
      </c>
    </row>
    <row r="183" spans="2:42" x14ac:dyDescent="0.2">
      <c r="B183" s="2">
        <v>7</v>
      </c>
      <c r="C183" s="2">
        <f t="shared" si="110"/>
        <v>2015</v>
      </c>
      <c r="D183" s="36">
        <f t="shared" si="111"/>
        <v>14.579346520930102</v>
      </c>
      <c r="E183" s="36">
        <f t="shared" si="112"/>
        <v>14.52141186883709</v>
      </c>
      <c r="F183" s="36">
        <f t="shared" si="117"/>
        <v>2.1875</v>
      </c>
      <c r="G183" s="36">
        <f t="shared" si="118"/>
        <v>2.1687500000000002</v>
      </c>
      <c r="H183" s="20">
        <f t="shared" si="80"/>
        <v>152.6696932086104</v>
      </c>
      <c r="I183" s="20">
        <f t="shared" si="81"/>
        <v>150.35272333897342</v>
      </c>
      <c r="J183" s="37">
        <f t="shared" si="82"/>
        <v>55.958109012049576</v>
      </c>
      <c r="K183" s="37">
        <f t="shared" si="83"/>
        <v>55.474083426459615</v>
      </c>
      <c r="L183" s="37">
        <f t="shared" si="84"/>
        <v>96.711584196560821</v>
      </c>
      <c r="M183" s="37">
        <f t="shared" si="85"/>
        <v>94.878639912513805</v>
      </c>
      <c r="N183" s="38">
        <f t="shared" si="86"/>
        <v>222.25</v>
      </c>
      <c r="O183" s="38">
        <f t="shared" si="87"/>
        <v>158.75</v>
      </c>
      <c r="P183" s="16">
        <f t="shared" si="88"/>
        <v>12.436689727928018</v>
      </c>
      <c r="Q183" s="16">
        <f t="shared" si="89"/>
        <v>15.35296399120403</v>
      </c>
      <c r="R183" s="18">
        <f t="shared" si="90"/>
        <v>-4.1684480578698073</v>
      </c>
      <c r="S183" s="38">
        <f t="shared" si="91"/>
        <v>73.342500000000001</v>
      </c>
      <c r="T183" s="38">
        <f t="shared" si="92"/>
        <v>158.75</v>
      </c>
      <c r="U183" s="16">
        <f t="shared" si="93"/>
        <v>4.0686079637051149</v>
      </c>
      <c r="V183" s="16">
        <f t="shared" si="94"/>
        <v>15.061984086111567</v>
      </c>
      <c r="W183" s="18">
        <f t="shared" si="95"/>
        <v>-2.869588807472502</v>
      </c>
      <c r="X183" s="18">
        <f t="shared" si="96"/>
        <v>18.6681819493547</v>
      </c>
      <c r="Y183" s="18">
        <f t="shared" si="97"/>
        <v>15.119184782787766</v>
      </c>
      <c r="Z183" s="16">
        <f t="shared" si="113"/>
        <v>0.5</v>
      </c>
      <c r="AA183" s="18">
        <f t="shared" si="98"/>
        <v>-7.4999999999999997E-2</v>
      </c>
      <c r="AB183" s="18">
        <f t="shared" si="99"/>
        <v>0.33588367343531189</v>
      </c>
      <c r="AC183" s="18">
        <f t="shared" si="114"/>
        <v>2.6529081641171985</v>
      </c>
      <c r="AD183" s="18">
        <f t="shared" si="100"/>
        <v>-0.10621827225813157</v>
      </c>
      <c r="AE183" s="18">
        <f t="shared" si="115"/>
        <v>-0.79165253340768182</v>
      </c>
      <c r="AF183" s="18">
        <f t="shared" si="101"/>
        <v>-2.5492385341951574E-2</v>
      </c>
      <c r="AG183" s="18">
        <f t="shared" si="119"/>
        <v>-0.18999660801784363</v>
      </c>
      <c r="AH183" s="19">
        <f t="shared" si="102"/>
        <v>-0.29443307705989596</v>
      </c>
      <c r="AI183" s="19">
        <f t="shared" si="103"/>
        <v>1.6641395138871236</v>
      </c>
      <c r="AJ183" s="40">
        <f t="shared" si="104"/>
        <v>-15.413617859847664</v>
      </c>
      <c r="AK183" s="40">
        <f t="shared" si="105"/>
        <v>-13.455045268900644</v>
      </c>
      <c r="AL183" s="40">
        <f t="shared" si="106"/>
        <v>17.876529415947019</v>
      </c>
      <c r="AM183" s="40">
        <f t="shared" si="107"/>
        <v>17.582096338887123</v>
      </c>
      <c r="AN183" s="40">
        <f t="shared" si="116"/>
        <v>15.917956824999999</v>
      </c>
      <c r="AO183" s="40">
        <f t="shared" si="108"/>
        <v>2.4629115560993551</v>
      </c>
      <c r="AP183" s="17">
        <f t="shared" si="109"/>
        <v>0.67176734687062389</v>
      </c>
    </row>
    <row r="184" spans="2:42" x14ac:dyDescent="0.2">
      <c r="B184" s="2">
        <v>8</v>
      </c>
      <c r="C184" s="2">
        <f t="shared" si="110"/>
        <v>2016</v>
      </c>
      <c r="D184" s="36">
        <f t="shared" si="111"/>
        <v>14.672553055720801</v>
      </c>
      <c r="E184" s="36">
        <f t="shared" si="112"/>
        <v>14.605297750148718</v>
      </c>
      <c r="F184" s="36">
        <f t="shared" si="117"/>
        <v>2.21875</v>
      </c>
      <c r="G184" s="36">
        <f t="shared" si="118"/>
        <v>2.1968749999999999</v>
      </c>
      <c r="H184" s="20">
        <f t="shared" si="80"/>
        <v>156.49748149977341</v>
      </c>
      <c r="I184" s="20">
        <f t="shared" si="81"/>
        <v>153.7632516131813</v>
      </c>
      <c r="J184" s="37">
        <f t="shared" si="82"/>
        <v>56.740657383728909</v>
      </c>
      <c r="K184" s="37">
        <f t="shared" si="83"/>
        <v>56.175516279827875</v>
      </c>
      <c r="L184" s="37">
        <f t="shared" si="84"/>
        <v>99.756824116044498</v>
      </c>
      <c r="M184" s="37">
        <f t="shared" si="85"/>
        <v>97.587735333353422</v>
      </c>
      <c r="N184" s="38">
        <f t="shared" si="86"/>
        <v>230.125</v>
      </c>
      <c r="O184" s="38">
        <f t="shared" si="87"/>
        <v>164.375</v>
      </c>
      <c r="P184" s="16">
        <f t="shared" si="88"/>
        <v>13.057443780430615</v>
      </c>
      <c r="Q184" s="16">
        <f t="shared" si="89"/>
        <v>16.397527964074815</v>
      </c>
      <c r="R184" s="18">
        <f t="shared" si="90"/>
        <v>-4.4182457616758137</v>
      </c>
      <c r="S184" s="38">
        <f t="shared" si="91"/>
        <v>75.941249999999997</v>
      </c>
      <c r="T184" s="38">
        <f t="shared" si="92"/>
        <v>164.375</v>
      </c>
      <c r="U184" s="16">
        <f t="shared" si="93"/>
        <v>4.2660389256854785</v>
      </c>
      <c r="V184" s="16">
        <f t="shared" si="94"/>
        <v>16.040983995419968</v>
      </c>
      <c r="W184" s="18">
        <f t="shared" si="95"/>
        <v>-3.0460534381658166</v>
      </c>
      <c r="X184" s="18">
        <f t="shared" si="96"/>
        <v>19.025854058611159</v>
      </c>
      <c r="Y184" s="18">
        <f t="shared" si="97"/>
        <v>15.431668450850625</v>
      </c>
      <c r="Z184" s="16">
        <f t="shared" si="113"/>
        <v>0.5</v>
      </c>
      <c r="AA184" s="18">
        <f t="shared" si="98"/>
        <v>-7.4999999999999997E-2</v>
      </c>
      <c r="AB184" s="18">
        <f t="shared" si="99"/>
        <v>0.32296507061087687</v>
      </c>
      <c r="AC184" s="18">
        <f t="shared" si="114"/>
        <v>2.9758732347280752</v>
      </c>
      <c r="AD184" s="18">
        <f t="shared" si="100"/>
        <v>-0.10395675684604226</v>
      </c>
      <c r="AE184" s="18">
        <f t="shared" si="115"/>
        <v>-0.89560929025372404</v>
      </c>
      <c r="AF184" s="18">
        <f t="shared" si="101"/>
        <v>-2.4949621643050136E-2</v>
      </c>
      <c r="AG184" s="18">
        <f t="shared" si="119"/>
        <v>-0.21494622966089377</v>
      </c>
      <c r="AH184" s="19">
        <f t="shared" si="102"/>
        <v>6.2350687560371654E-2</v>
      </c>
      <c r="AI184" s="19">
        <f t="shared" si="103"/>
        <v>2.2746386309178082</v>
      </c>
      <c r="AJ184" s="40">
        <f t="shared" si="104"/>
        <v>-15.369317763290255</v>
      </c>
      <c r="AK184" s="40">
        <f t="shared" si="105"/>
        <v>-13.157029819932818</v>
      </c>
      <c r="AL184" s="40">
        <f t="shared" si="106"/>
        <v>18.130244768357436</v>
      </c>
      <c r="AM184" s="40">
        <f t="shared" si="107"/>
        <v>18.192595455917807</v>
      </c>
      <c r="AN184" s="40">
        <f t="shared" si="116"/>
        <v>15.917956824999999</v>
      </c>
      <c r="AO184" s="40">
        <f t="shared" si="108"/>
        <v>2.7609270050671815</v>
      </c>
      <c r="AP184" s="17">
        <f t="shared" si="109"/>
        <v>0.64593014122175385</v>
      </c>
    </row>
    <row r="185" spans="2:42" x14ac:dyDescent="0.2">
      <c r="B185" s="2">
        <v>9</v>
      </c>
      <c r="C185" s="2">
        <f t="shared" si="110"/>
        <v>2017</v>
      </c>
      <c r="D185" s="36">
        <f t="shared" si="111"/>
        <v>14.764827525163593</v>
      </c>
      <c r="E185" s="36">
        <f t="shared" si="112"/>
        <v>14.68834477264723</v>
      </c>
      <c r="F185" s="36">
        <f t="shared" si="117"/>
        <v>2.25</v>
      </c>
      <c r="G185" s="36">
        <f t="shared" si="118"/>
        <v>2.2250000000000001</v>
      </c>
      <c r="H185" s="20">
        <f t="shared" si="80"/>
        <v>160.35982352871403</v>
      </c>
      <c r="I185" s="20">
        <f t="shared" si="81"/>
        <v>157.19976024278202</v>
      </c>
      <c r="J185" s="37">
        <f t="shared" si="82"/>
        <v>57.520042484405849</v>
      </c>
      <c r="K185" s="37">
        <f t="shared" si="83"/>
        <v>56.873711196961118</v>
      </c>
      <c r="L185" s="37">
        <f t="shared" si="84"/>
        <v>102.83978104430818</v>
      </c>
      <c r="M185" s="37">
        <f t="shared" si="85"/>
        <v>100.32604904582089</v>
      </c>
      <c r="N185" s="38">
        <f t="shared" si="86"/>
        <v>238</v>
      </c>
      <c r="O185" s="38">
        <f t="shared" si="87"/>
        <v>170</v>
      </c>
      <c r="P185" s="16">
        <f t="shared" si="88"/>
        <v>13.689770111288592</v>
      </c>
      <c r="Q185" s="16">
        <f t="shared" si="89"/>
        <v>17.482762777532393</v>
      </c>
      <c r="R185" s="18">
        <f t="shared" si="90"/>
        <v>-4.6758799333231478</v>
      </c>
      <c r="S185" s="38">
        <f t="shared" si="91"/>
        <v>78.539999999999992</v>
      </c>
      <c r="T185" s="38">
        <f t="shared" si="92"/>
        <v>170</v>
      </c>
      <c r="U185" s="16">
        <f t="shared" si="93"/>
        <v>4.4668612774093264</v>
      </c>
      <c r="V185" s="16">
        <f t="shared" si="94"/>
        <v>17.055428337789554</v>
      </c>
      <c r="W185" s="18">
        <f t="shared" si="95"/>
        <v>-3.2283434422798316</v>
      </c>
      <c r="X185" s="18">
        <f t="shared" si="96"/>
        <v>19.360844779919134</v>
      </c>
      <c r="Y185" s="18">
        <f t="shared" si="97"/>
        <v>15.726126211041736</v>
      </c>
      <c r="Z185" s="16">
        <f t="shared" si="113"/>
        <v>0.5</v>
      </c>
      <c r="AA185" s="18">
        <f t="shared" si="98"/>
        <v>-7.4999999999999997E-2</v>
      </c>
      <c r="AB185" s="18">
        <f t="shared" si="99"/>
        <v>0.31054333712584309</v>
      </c>
      <c r="AC185" s="18">
        <f t="shared" si="114"/>
        <v>3.2864165718539184</v>
      </c>
      <c r="AD185" s="18">
        <f t="shared" si="100"/>
        <v>-0.10171207653627613</v>
      </c>
      <c r="AE185" s="18">
        <f t="shared" si="115"/>
        <v>-0.99732136679000016</v>
      </c>
      <c r="AF185" s="18">
        <f t="shared" si="101"/>
        <v>-2.4410898368706271E-2</v>
      </c>
      <c r="AG185" s="18">
        <f t="shared" si="119"/>
        <v>-0.23935712802960005</v>
      </c>
      <c r="AH185" s="19">
        <f t="shared" si="102"/>
        <v>0.40966224173692112</v>
      </c>
      <c r="AI185" s="19">
        <f t="shared" si="103"/>
        <v>2.8552288298660553</v>
      </c>
      <c r="AJ185" s="40">
        <f t="shared" si="104"/>
        <v>-15.316463969304815</v>
      </c>
      <c r="AK185" s="40">
        <f t="shared" si="105"/>
        <v>-12.870897381175681</v>
      </c>
      <c r="AL185" s="40">
        <f t="shared" si="106"/>
        <v>18.363523413129133</v>
      </c>
      <c r="AM185" s="40">
        <f t="shared" si="107"/>
        <v>18.773185654866055</v>
      </c>
      <c r="AN185" s="40">
        <f t="shared" si="116"/>
        <v>15.917956824999999</v>
      </c>
      <c r="AO185" s="40">
        <f t="shared" si="108"/>
        <v>3.0470594438243186</v>
      </c>
      <c r="AP185" s="17">
        <f t="shared" si="109"/>
        <v>0.62108667425168618</v>
      </c>
    </row>
    <row r="186" spans="2:42" x14ac:dyDescent="0.2">
      <c r="B186" s="2">
        <v>10</v>
      </c>
      <c r="C186" s="2">
        <f t="shared" si="110"/>
        <v>2018</v>
      </c>
      <c r="D186" s="36">
        <f t="shared" si="111"/>
        <v>14.856179249911957</v>
      </c>
      <c r="E186" s="36">
        <f t="shared" si="112"/>
        <v>14.770561324920758</v>
      </c>
      <c r="F186" s="36">
        <f t="shared" si="117"/>
        <v>2.28125</v>
      </c>
      <c r="G186" s="36">
        <f t="shared" si="118"/>
        <v>2.2531249999999998</v>
      </c>
      <c r="H186" s="20">
        <f t="shared" si="80"/>
        <v>164.25605396767179</v>
      </c>
      <c r="I186" s="20">
        <f t="shared" si="81"/>
        <v>160.66170621295078</v>
      </c>
      <c r="J186" s="37">
        <f t="shared" si="82"/>
        <v>58.296203168757415</v>
      </c>
      <c r="K186" s="37">
        <f t="shared" si="83"/>
        <v>57.568625407014963</v>
      </c>
      <c r="L186" s="37">
        <f t="shared" si="84"/>
        <v>105.95985079891437</v>
      </c>
      <c r="M186" s="37">
        <f t="shared" si="85"/>
        <v>103.09308080593581</v>
      </c>
      <c r="N186" s="38">
        <f t="shared" si="86"/>
        <v>245.875</v>
      </c>
      <c r="O186" s="38">
        <f t="shared" si="87"/>
        <v>175.625</v>
      </c>
      <c r="P186" s="16">
        <f t="shared" si="88"/>
        <v>14.333578954118231</v>
      </c>
      <c r="Q186" s="16">
        <f t="shared" si="89"/>
        <v>18.609198796559337</v>
      </c>
      <c r="R186" s="18">
        <f t="shared" si="90"/>
        <v>-4.9414166626016343</v>
      </c>
      <c r="S186" s="38">
        <f t="shared" si="91"/>
        <v>81.138750000000002</v>
      </c>
      <c r="T186" s="38">
        <f t="shared" si="92"/>
        <v>175.625</v>
      </c>
      <c r="U186" s="16">
        <f t="shared" si="93"/>
        <v>4.6710463047434354</v>
      </c>
      <c r="V186" s="16">
        <f t="shared" si="94"/>
        <v>18.105722316542476</v>
      </c>
      <c r="W186" s="18">
        <f t="shared" si="95"/>
        <v>-3.4165152931928864</v>
      </c>
      <c r="X186" s="18">
        <f t="shared" si="96"/>
        <v>19.673384878635357</v>
      </c>
      <c r="Y186" s="18">
        <f t="shared" si="97"/>
        <v>16.002655512663608</v>
      </c>
      <c r="Z186" s="16">
        <f t="shared" si="113"/>
        <v>0.5</v>
      </c>
      <c r="AA186" s="18">
        <f t="shared" si="98"/>
        <v>-7.4999999999999997E-2</v>
      </c>
      <c r="AB186" s="18">
        <f t="shared" si="99"/>
        <v>0.29859936262100295</v>
      </c>
      <c r="AC186" s="18">
        <f t="shared" si="114"/>
        <v>3.5850159344749213</v>
      </c>
      <c r="AD186" s="18">
        <f t="shared" si="100"/>
        <v>-9.9486281757962397E-2</v>
      </c>
      <c r="AE186" s="18">
        <f t="shared" si="115"/>
        <v>-1.0968076485479625</v>
      </c>
      <c r="AF186" s="18">
        <f t="shared" si="101"/>
        <v>-2.3876707621910971E-2</v>
      </c>
      <c r="AG186" s="18">
        <f t="shared" si="119"/>
        <v>-0.26323383565151104</v>
      </c>
      <c r="AH186" s="19">
        <f t="shared" si="102"/>
        <v>0.7478603813996223</v>
      </c>
      <c r="AI186" s="19">
        <f t="shared" si="103"/>
        <v>3.4064807864870179</v>
      </c>
      <c r="AJ186" s="40">
        <f t="shared" si="104"/>
        <v>-15.254795131263984</v>
      </c>
      <c r="AK186" s="40">
        <f t="shared" si="105"/>
        <v>-12.596174726176589</v>
      </c>
      <c r="AL186" s="40">
        <f t="shared" si="106"/>
        <v>18.576577230087395</v>
      </c>
      <c r="AM186" s="40">
        <f t="shared" si="107"/>
        <v>19.324437611487017</v>
      </c>
      <c r="AN186" s="40">
        <f t="shared" si="116"/>
        <v>15.917956824999999</v>
      </c>
      <c r="AO186" s="40">
        <f t="shared" si="108"/>
        <v>3.3217820988234101</v>
      </c>
      <c r="AP186" s="17">
        <f t="shared" si="109"/>
        <v>0.5971987252420059</v>
      </c>
    </row>
    <row r="187" spans="2:42" x14ac:dyDescent="0.2">
      <c r="B187" s="2">
        <v>11</v>
      </c>
      <c r="C187" s="2">
        <f t="shared" si="110"/>
        <v>2019</v>
      </c>
      <c r="D187" s="36">
        <f t="shared" si="111"/>
        <v>14.946617457412838</v>
      </c>
      <c r="E187" s="36">
        <f t="shared" si="112"/>
        <v>14.85195571167155</v>
      </c>
      <c r="F187" s="36">
        <f t="shared" si="117"/>
        <v>2.3125</v>
      </c>
      <c r="G187" s="36">
        <f t="shared" si="118"/>
        <v>2.28125</v>
      </c>
      <c r="H187" s="20">
        <f t="shared" si="80"/>
        <v>168.18550492716855</v>
      </c>
      <c r="I187" s="20">
        <f t="shared" si="81"/>
        <v>164.14854603493461</v>
      </c>
      <c r="J187" s="37">
        <f t="shared" si="82"/>
        <v>59.069080749196708</v>
      </c>
      <c r="K187" s="37">
        <f t="shared" si="83"/>
        <v>58.26021806234256</v>
      </c>
      <c r="L187" s="37">
        <f t="shared" si="84"/>
        <v>109.11642417797185</v>
      </c>
      <c r="M187" s="37">
        <f t="shared" si="85"/>
        <v>105.88832797259205</v>
      </c>
      <c r="N187" s="38">
        <f t="shared" si="86"/>
        <v>253.75</v>
      </c>
      <c r="O187" s="38">
        <f t="shared" si="87"/>
        <v>181.25</v>
      </c>
      <c r="P187" s="16">
        <f t="shared" si="88"/>
        <v>14.988779240108663</v>
      </c>
      <c r="Q187" s="16">
        <f t="shared" si="89"/>
        <v>19.777351882257399</v>
      </c>
      <c r="R187" s="18">
        <f t="shared" si="90"/>
        <v>-5.2149196683549093</v>
      </c>
      <c r="S187" s="38">
        <f t="shared" si="91"/>
        <v>83.737499999999997</v>
      </c>
      <c r="T187" s="38">
        <f t="shared" si="92"/>
        <v>181.25</v>
      </c>
      <c r="U187" s="16">
        <f t="shared" si="93"/>
        <v>4.8785650099954099</v>
      </c>
      <c r="V187" s="16">
        <f t="shared" si="94"/>
        <v>19.19225944503231</v>
      </c>
      <c r="W187" s="18">
        <f t="shared" si="95"/>
        <v>-3.6106236682541577</v>
      </c>
      <c r="X187" s="18">
        <f t="shared" si="96"/>
        <v>19.963739603724463</v>
      </c>
      <c r="Y187" s="18">
        <f t="shared" si="97"/>
        <v>16.261386515912506</v>
      </c>
      <c r="Z187" s="16">
        <f t="shared" si="113"/>
        <v>0.5</v>
      </c>
      <c r="AA187" s="18">
        <f t="shared" si="98"/>
        <v>-7.4999999999999997E-2</v>
      </c>
      <c r="AB187" s="18">
        <f t="shared" si="99"/>
        <v>0.28711477175096439</v>
      </c>
      <c r="AC187" s="18">
        <f t="shared" si="114"/>
        <v>3.8721307062258856</v>
      </c>
      <c r="AD187" s="18">
        <f t="shared" si="100"/>
        <v>-9.7281240310914979E-2</v>
      </c>
      <c r="AE187" s="18">
        <f t="shared" si="115"/>
        <v>-1.1940888888588774</v>
      </c>
      <c r="AF187" s="18">
        <f t="shared" si="101"/>
        <v>-2.3347497674619595E-2</v>
      </c>
      <c r="AG187" s="18">
        <f t="shared" si="119"/>
        <v>-0.28658133332613062</v>
      </c>
      <c r="AH187" s="19">
        <f t="shared" si="102"/>
        <v>1.0772851739466773</v>
      </c>
      <c r="AI187" s="19">
        <f t="shared" si="103"/>
        <v>3.9289790638122621</v>
      </c>
      <c r="AJ187" s="40">
        <f t="shared" si="104"/>
        <v>-15.184101341965828</v>
      </c>
      <c r="AK187" s="40">
        <f t="shared" si="105"/>
        <v>-12.332407452100245</v>
      </c>
      <c r="AL187" s="40">
        <f t="shared" si="106"/>
        <v>18.769650714865584</v>
      </c>
      <c r="AM187" s="40">
        <f t="shared" si="107"/>
        <v>19.846935888812261</v>
      </c>
      <c r="AN187" s="40">
        <f t="shared" si="116"/>
        <v>15.917956824999999</v>
      </c>
      <c r="AO187" s="40">
        <f t="shared" si="108"/>
        <v>3.5855493728997549</v>
      </c>
      <c r="AP187" s="17">
        <f t="shared" si="109"/>
        <v>0.57422954350192879</v>
      </c>
    </row>
    <row r="188" spans="2:42" x14ac:dyDescent="0.2">
      <c r="B188" s="2">
        <v>12</v>
      </c>
      <c r="C188" s="2">
        <f t="shared" si="110"/>
        <v>2020</v>
      </c>
      <c r="D188" s="36">
        <f t="shared" si="111"/>
        <v>15.036151282838709</v>
      </c>
      <c r="E188" s="36">
        <f t="shared" si="112"/>
        <v>14.932536154554835</v>
      </c>
      <c r="F188" s="36">
        <f t="shared" si="117"/>
        <v>2.34375</v>
      </c>
      <c r="G188" s="36">
        <f t="shared" si="118"/>
        <v>2.3093750000000002</v>
      </c>
      <c r="H188" s="20">
        <f t="shared" si="80"/>
        <v>172.14750635437579</v>
      </c>
      <c r="I188" s="20">
        <f t="shared" si="81"/>
        <v>167.65973600555355</v>
      </c>
      <c r="J188" s="37">
        <f t="shared" si="82"/>
        <v>59.838618934554489</v>
      </c>
      <c r="K188" s="37">
        <f t="shared" si="83"/>
        <v>58.948450189502445</v>
      </c>
      <c r="L188" s="37">
        <f t="shared" si="84"/>
        <v>112.3088874198213</v>
      </c>
      <c r="M188" s="37">
        <f t="shared" si="85"/>
        <v>108.71128581605112</v>
      </c>
      <c r="N188" s="38">
        <f t="shared" si="86"/>
        <v>261.625</v>
      </c>
      <c r="O188" s="38">
        <f t="shared" si="87"/>
        <v>186.875</v>
      </c>
      <c r="P188" s="16">
        <f t="shared" si="88"/>
        <v>15.655278678752818</v>
      </c>
      <c r="Q188" s="16">
        <f t="shared" si="89"/>
        <v>20.987723336579108</v>
      </c>
      <c r="R188" s="18">
        <f t="shared" si="90"/>
        <v>-5.496450302299789</v>
      </c>
      <c r="S188" s="38">
        <f t="shared" si="91"/>
        <v>86.336250000000007</v>
      </c>
      <c r="T188" s="38">
        <f t="shared" si="92"/>
        <v>186.875</v>
      </c>
      <c r="U188" s="16">
        <f t="shared" si="93"/>
        <v>5.0893881326734309</v>
      </c>
      <c r="V188" s="16">
        <f t="shared" si="94"/>
        <v>20.315421536874553</v>
      </c>
      <c r="W188" s="18">
        <f t="shared" si="95"/>
        <v>-3.8107214504321973</v>
      </c>
      <c r="X188" s="18">
        <f t="shared" si="96"/>
        <v>20.232206076734915</v>
      </c>
      <c r="Y188" s="18">
        <f t="shared" si="97"/>
        <v>16.502479931332495</v>
      </c>
      <c r="Z188" s="16">
        <f t="shared" si="113"/>
        <v>0.5</v>
      </c>
      <c r="AA188" s="18">
        <f t="shared" si="98"/>
        <v>-7.4999999999999997E-2</v>
      </c>
      <c r="AB188" s="18">
        <f t="shared" si="99"/>
        <v>0.27607189591438885</v>
      </c>
      <c r="AC188" s="18">
        <f t="shared" si="114"/>
        <v>4.1482026021402749</v>
      </c>
      <c r="AD188" s="18">
        <f t="shared" si="100"/>
        <v>-9.5098648380862419E-2</v>
      </c>
      <c r="AE188" s="18">
        <f t="shared" si="115"/>
        <v>-1.2891875372397399</v>
      </c>
      <c r="AF188" s="18">
        <f t="shared" si="101"/>
        <v>-2.2823675611406975E-2</v>
      </c>
      <c r="AG188" s="18">
        <f t="shared" si="119"/>
        <v>-0.30940500893753758</v>
      </c>
      <c r="AH188" s="19">
        <f t="shared" si="102"/>
        <v>1.3982589850400551</v>
      </c>
      <c r="AI188" s="19">
        <f t="shared" si="103"/>
        <v>4.4233206995352301</v>
      </c>
      <c r="AJ188" s="40">
        <f t="shared" si="104"/>
        <v>-15.104220946292436</v>
      </c>
      <c r="AK188" s="40">
        <f t="shared" si="105"/>
        <v>-12.079159231797263</v>
      </c>
      <c r="AL188" s="40">
        <f t="shared" si="106"/>
        <v>18.943018539495174</v>
      </c>
      <c r="AM188" s="40">
        <f t="shared" si="107"/>
        <v>20.341277524535229</v>
      </c>
      <c r="AN188" s="40">
        <f t="shared" si="116"/>
        <v>15.917956824999999</v>
      </c>
      <c r="AO188" s="40">
        <f t="shared" si="108"/>
        <v>3.8387975932027372</v>
      </c>
      <c r="AP188" s="17">
        <f t="shared" si="109"/>
        <v>0.55214379182877771</v>
      </c>
    </row>
    <row r="189" spans="2:42" x14ac:dyDescent="0.2">
      <c r="B189" s="2">
        <v>13</v>
      </c>
      <c r="C189" s="2">
        <f t="shared" si="110"/>
        <v>2021</v>
      </c>
      <c r="D189" s="36">
        <f t="shared" si="111"/>
        <v>15.124789770010322</v>
      </c>
      <c r="E189" s="36">
        <f t="shared" si="112"/>
        <v>15.012310793009288</v>
      </c>
      <c r="F189" s="36">
        <f t="shared" si="117"/>
        <v>2.375</v>
      </c>
      <c r="G189" s="36">
        <f t="shared" si="118"/>
        <v>2.3374999999999999</v>
      </c>
      <c r="H189" s="20">
        <f t="shared" si="80"/>
        <v>176.14138641677286</v>
      </c>
      <c r="I189" s="20">
        <f t="shared" si="81"/>
        <v>171.19473245666595</v>
      </c>
      <c r="J189" s="37">
        <f t="shared" si="82"/>
        <v>60.604763770105222</v>
      </c>
      <c r="K189" s="37">
        <f t="shared" si="83"/>
        <v>59.633284641348411</v>
      </c>
      <c r="L189" s="37">
        <f t="shared" si="84"/>
        <v>115.53662264666764</v>
      </c>
      <c r="M189" s="37">
        <f t="shared" si="85"/>
        <v>111.56144781531754</v>
      </c>
      <c r="N189" s="38">
        <f t="shared" si="86"/>
        <v>269.5</v>
      </c>
      <c r="O189" s="38">
        <f t="shared" si="87"/>
        <v>192.5</v>
      </c>
      <c r="P189" s="16">
        <f t="shared" si="88"/>
        <v>16.332983836043358</v>
      </c>
      <c r="Q189" s="16">
        <f t="shared" si="89"/>
        <v>22.24079985948352</v>
      </c>
      <c r="R189" s="18">
        <f t="shared" si="90"/>
        <v>-5.7860675543290316</v>
      </c>
      <c r="S189" s="38">
        <f t="shared" si="91"/>
        <v>88.935000000000002</v>
      </c>
      <c r="T189" s="38">
        <f t="shared" si="92"/>
        <v>192.5</v>
      </c>
      <c r="U189" s="16">
        <f t="shared" si="93"/>
        <v>5.3034861695783206</v>
      </c>
      <c r="V189" s="16">
        <f t="shared" si="94"/>
        <v>21.475578704448626</v>
      </c>
      <c r="W189" s="18">
        <f t="shared" si="95"/>
        <v>-4.0168597311040415</v>
      </c>
      <c r="X189" s="18">
        <f t="shared" si="96"/>
        <v>20.479110764260856</v>
      </c>
      <c r="Y189" s="18">
        <f t="shared" si="97"/>
        <v>16.726124910830389</v>
      </c>
      <c r="Z189" s="16">
        <f t="shared" si="113"/>
        <v>0.5</v>
      </c>
      <c r="AA189" s="18">
        <f t="shared" si="98"/>
        <v>-7.4999999999999997E-2</v>
      </c>
      <c r="AB189" s="18">
        <f t="shared" si="99"/>
        <v>0.26545374607152766</v>
      </c>
      <c r="AC189" s="18">
        <f t="shared" si="114"/>
        <v>4.413656348211803</v>
      </c>
      <c r="AD189" s="18">
        <f t="shared" si="100"/>
        <v>-9.2940040977513683E-2</v>
      </c>
      <c r="AE189" s="18">
        <f t="shared" si="115"/>
        <v>-1.3821275782172535</v>
      </c>
      <c r="AF189" s="18">
        <f t="shared" si="101"/>
        <v>-2.2305609834603283E-2</v>
      </c>
      <c r="AG189" s="18">
        <f t="shared" si="119"/>
        <v>-0.33171061877214086</v>
      </c>
      <c r="AH189" s="19">
        <f t="shared" si="102"/>
        <v>1.7110874542264476</v>
      </c>
      <c r="AI189" s="19">
        <f t="shared" si="103"/>
        <v>4.8901138152700501</v>
      </c>
      <c r="AJ189" s="40">
        <f t="shared" si="104"/>
        <v>-15.01503745660394</v>
      </c>
      <c r="AK189" s="40">
        <f t="shared" si="105"/>
        <v>-11.836011095560337</v>
      </c>
      <c r="AL189" s="40">
        <f t="shared" si="106"/>
        <v>19.096983186043602</v>
      </c>
      <c r="AM189" s="40">
        <f t="shared" si="107"/>
        <v>20.808070640270049</v>
      </c>
      <c r="AN189" s="40">
        <f t="shared" si="116"/>
        <v>15.917956824999999</v>
      </c>
      <c r="AO189" s="40">
        <f t="shared" si="108"/>
        <v>4.0819457294396617</v>
      </c>
      <c r="AP189" s="17">
        <f t="shared" si="109"/>
        <v>0.53090749214305544</v>
      </c>
    </row>
    <row r="190" spans="2:42" x14ac:dyDescent="0.2">
      <c r="B190" s="2">
        <v>14</v>
      </c>
      <c r="C190" s="2">
        <f t="shared" si="110"/>
        <v>2022</v>
      </c>
      <c r="D190" s="36">
        <f t="shared" si="111"/>
        <v>15.212541872310219</v>
      </c>
      <c r="E190" s="36">
        <f t="shared" si="112"/>
        <v>15.091287685079195</v>
      </c>
      <c r="F190" s="36">
        <f t="shared" si="117"/>
        <v>2.40625</v>
      </c>
      <c r="G190" s="36">
        <f t="shared" si="118"/>
        <v>2.3656250000000001</v>
      </c>
      <c r="H190" s="20">
        <f t="shared" si="80"/>
        <v>180.16647187151602</v>
      </c>
      <c r="I190" s="20">
        <f t="shared" si="81"/>
        <v>174.75299199489055</v>
      </c>
      <c r="J190" s="37">
        <f t="shared" si="82"/>
        <v>61.367463578909238</v>
      </c>
      <c r="K190" s="37">
        <f t="shared" si="83"/>
        <v>60.314686050179027</v>
      </c>
      <c r="L190" s="37">
        <f t="shared" si="84"/>
        <v>118.79900829260679</v>
      </c>
      <c r="M190" s="37">
        <f t="shared" si="85"/>
        <v>114.43830594471152</v>
      </c>
      <c r="N190" s="38">
        <f t="shared" si="86"/>
        <v>277.375</v>
      </c>
      <c r="O190" s="38">
        <f t="shared" si="87"/>
        <v>198.125</v>
      </c>
      <c r="P190" s="16">
        <f t="shared" si="88"/>
        <v>17.021800210199949</v>
      </c>
      <c r="Q190" s="16">
        <f t="shared" si="89"/>
        <v>23.537053517972719</v>
      </c>
      <c r="R190" s="18">
        <f t="shared" si="90"/>
        <v>-6.0838280592258993</v>
      </c>
      <c r="S190" s="38">
        <f t="shared" si="91"/>
        <v>91.533749999999998</v>
      </c>
      <c r="T190" s="38">
        <f t="shared" si="92"/>
        <v>198.125</v>
      </c>
      <c r="U190" s="16">
        <f t="shared" si="93"/>
        <v>5.520829394245574</v>
      </c>
      <c r="V190" s="16">
        <f t="shared" si="94"/>
        <v>22.673089365295969</v>
      </c>
      <c r="W190" s="18">
        <f t="shared" si="95"/>
        <v>-4.2290878139312316</v>
      </c>
      <c r="X190" s="18">
        <f t="shared" si="96"/>
        <v>20.70480703559727</v>
      </c>
      <c r="Y190" s="18">
        <f t="shared" si="97"/>
        <v>16.932536993567016</v>
      </c>
      <c r="Z190" s="16">
        <f t="shared" si="113"/>
        <v>0.5</v>
      </c>
      <c r="AA190" s="18">
        <f t="shared" si="98"/>
        <v>-7.4999999999999997E-2</v>
      </c>
      <c r="AB190" s="18">
        <f t="shared" si="99"/>
        <v>0.25524398660723813</v>
      </c>
      <c r="AC190" s="18">
        <f t="shared" si="114"/>
        <v>4.6689003348190408</v>
      </c>
      <c r="AD190" s="18">
        <f t="shared" si="100"/>
        <v>-9.0806801823563321E-2</v>
      </c>
      <c r="AE190" s="18">
        <f t="shared" si="115"/>
        <v>-1.4729343800408168</v>
      </c>
      <c r="AF190" s="18">
        <f t="shared" si="101"/>
        <v>-2.179363243765519E-2</v>
      </c>
      <c r="AG190" s="18">
        <f t="shared" si="119"/>
        <v>-0.35350425120979606</v>
      </c>
      <c r="AH190" s="19">
        <f t="shared" si="102"/>
        <v>2.0160604216198053</v>
      </c>
      <c r="AI190" s="19">
        <f t="shared" si="103"/>
        <v>5.3299762521762606</v>
      </c>
      <c r="AJ190" s="40">
        <f t="shared" si="104"/>
        <v>-14.916476571947211</v>
      </c>
      <c r="AK190" s="40">
        <f t="shared" si="105"/>
        <v>-11.602560741390754</v>
      </c>
      <c r="AL190" s="40">
        <f t="shared" si="106"/>
        <v>19.231872655556455</v>
      </c>
      <c r="AM190" s="40">
        <f t="shared" si="107"/>
        <v>21.24793307717626</v>
      </c>
      <c r="AN190" s="40">
        <f t="shared" si="116"/>
        <v>15.917956824999999</v>
      </c>
      <c r="AO190" s="40">
        <f t="shared" si="108"/>
        <v>4.3153960836092446</v>
      </c>
      <c r="AP190" s="17">
        <f t="shared" si="109"/>
        <v>0.51048797321447636</v>
      </c>
    </row>
    <row r="191" spans="2:42" x14ac:dyDescent="0.2">
      <c r="B191" s="2">
        <v>15</v>
      </c>
      <c r="C191" s="2">
        <f t="shared" si="110"/>
        <v>2023</v>
      </c>
      <c r="D191" s="36">
        <f t="shared" si="111"/>
        <v>15.299416453587117</v>
      </c>
      <c r="E191" s="36">
        <f t="shared" si="112"/>
        <v>15.169474808228403</v>
      </c>
      <c r="F191" s="36">
        <f t="shared" si="117"/>
        <v>2.4375</v>
      </c>
      <c r="G191" s="36">
        <f t="shared" si="118"/>
        <v>2.3937499999999998</v>
      </c>
      <c r="H191" s="20">
        <f t="shared" si="80"/>
        <v>184.2220884209313</v>
      </c>
      <c r="I191" s="20">
        <f t="shared" si="81"/>
        <v>178.33397173186773</v>
      </c>
      <c r="J191" s="37">
        <f t="shared" si="82"/>
        <v>62.126668904443989</v>
      </c>
      <c r="K191" s="37">
        <f t="shared" si="83"/>
        <v>60.992620781924543</v>
      </c>
      <c r="L191" s="37">
        <f t="shared" si="84"/>
        <v>122.09541951648731</v>
      </c>
      <c r="M191" s="37">
        <f t="shared" si="85"/>
        <v>117.34135094994319</v>
      </c>
      <c r="N191" s="38">
        <f t="shared" si="86"/>
        <v>285.25</v>
      </c>
      <c r="O191" s="38">
        <f t="shared" si="87"/>
        <v>203.75</v>
      </c>
      <c r="P191" s="16">
        <f t="shared" si="88"/>
        <v>17.721632304992649</v>
      </c>
      <c r="Q191" s="16">
        <f t="shared" si="89"/>
        <v>24.876941726484286</v>
      </c>
      <c r="R191" s="18">
        <f t="shared" si="90"/>
        <v>-6.3897861047215399</v>
      </c>
      <c r="S191" s="38">
        <f t="shared" si="91"/>
        <v>94.132499999999993</v>
      </c>
      <c r="T191" s="38">
        <f t="shared" si="92"/>
        <v>203.75</v>
      </c>
      <c r="U191" s="16">
        <f t="shared" si="93"/>
        <v>5.741387875754512</v>
      </c>
      <c r="V191" s="16">
        <f t="shared" si="94"/>
        <v>23.908300256050925</v>
      </c>
      <c r="W191" s="18">
        <f t="shared" si="95"/>
        <v>-4.4474532197708152</v>
      </c>
      <c r="X191" s="18">
        <f t="shared" si="96"/>
        <v>20.909672806880277</v>
      </c>
      <c r="Y191" s="18">
        <f t="shared" si="97"/>
        <v>17.121956109555057</v>
      </c>
      <c r="Z191" s="16">
        <f t="shared" si="113"/>
        <v>0.5</v>
      </c>
      <c r="AA191" s="18">
        <f t="shared" si="98"/>
        <v>-7.4999999999999997E-2</v>
      </c>
      <c r="AB191" s="18">
        <f t="shared" si="99"/>
        <v>0.24542691019926746</v>
      </c>
      <c r="AC191" s="18">
        <f t="shared" si="114"/>
        <v>4.914327245018308</v>
      </c>
      <c r="AD191" s="18">
        <f t="shared" si="100"/>
        <v>-8.8700172721429354E-2</v>
      </c>
      <c r="AE191" s="18">
        <f t="shared" si="115"/>
        <v>-1.5616345527622462</v>
      </c>
      <c r="AF191" s="18">
        <f t="shared" si="101"/>
        <v>-2.1288041453143045E-2</v>
      </c>
      <c r="AG191" s="18">
        <f t="shared" si="119"/>
        <v>-0.37479229266293912</v>
      </c>
      <c r="AH191" s="19">
        <f t="shared" si="102"/>
        <v>2.3134528077923946</v>
      </c>
      <c r="AI191" s="19">
        <f t="shared" si="103"/>
        <v>5.7435342369104259</v>
      </c>
      <c r="AJ191" s="40">
        <f t="shared" si="104"/>
        <v>-14.808503301762663</v>
      </c>
      <c r="AK191" s="40">
        <f t="shared" si="105"/>
        <v>-11.37842187264463</v>
      </c>
      <c r="AL191" s="40">
        <f t="shared" si="106"/>
        <v>19.34803825411803</v>
      </c>
      <c r="AM191" s="40">
        <f t="shared" si="107"/>
        <v>21.661491061910425</v>
      </c>
      <c r="AN191" s="40">
        <f t="shared" si="116"/>
        <v>15.917956824999999</v>
      </c>
      <c r="AO191" s="40">
        <f t="shared" si="108"/>
        <v>4.5395349523553685</v>
      </c>
      <c r="AP191" s="17">
        <f t="shared" si="109"/>
        <v>0.49085382039853498</v>
      </c>
    </row>
    <row r="192" spans="2:42" x14ac:dyDescent="0.2">
      <c r="B192" s="2">
        <v>16</v>
      </c>
      <c r="C192" s="2">
        <f t="shared" si="110"/>
        <v>2024</v>
      </c>
      <c r="D192" s="36">
        <f t="shared" si="111"/>
        <v>15.385422289051245</v>
      </c>
      <c r="E192" s="36">
        <f t="shared" si="112"/>
        <v>15.246880060146118</v>
      </c>
      <c r="F192" s="36">
        <f t="shared" si="117"/>
        <v>2.46875</v>
      </c>
      <c r="G192" s="36">
        <f t="shared" si="118"/>
        <v>2.421875</v>
      </c>
      <c r="H192" s="20">
        <f t="shared" si="80"/>
        <v>188.30756105452934</v>
      </c>
      <c r="I192" s="20">
        <f t="shared" si="81"/>
        <v>181.93712950533944</v>
      </c>
      <c r="J192" s="37">
        <f t="shared" si="82"/>
        <v>62.882332454497259</v>
      </c>
      <c r="K192" s="37">
        <f t="shared" si="83"/>
        <v>61.667056891349446</v>
      </c>
      <c r="L192" s="37">
        <f t="shared" si="84"/>
        <v>125.42522860003209</v>
      </c>
      <c r="M192" s="37">
        <f t="shared" si="85"/>
        <v>120.27007261399</v>
      </c>
      <c r="N192" s="38">
        <f t="shared" si="86"/>
        <v>293.125</v>
      </c>
      <c r="O192" s="38">
        <f t="shared" si="87"/>
        <v>209.375</v>
      </c>
      <c r="P192" s="16">
        <f t="shared" si="88"/>
        <v>18.432383700724511</v>
      </c>
      <c r="Q192" s="16">
        <f t="shared" si="89"/>
        <v>26.260907238131718</v>
      </c>
      <c r="R192" s="18">
        <f t="shared" si="90"/>
        <v>-6.7039936408284344</v>
      </c>
      <c r="S192" s="38">
        <f t="shared" si="91"/>
        <v>96.731249999999989</v>
      </c>
      <c r="T192" s="38">
        <f t="shared" si="92"/>
        <v>209.375</v>
      </c>
      <c r="U192" s="16">
        <f t="shared" si="93"/>
        <v>5.9651314969213454</v>
      </c>
      <c r="V192" s="16">
        <f t="shared" si="94"/>
        <v>25.181546453554155</v>
      </c>
      <c r="W192" s="18">
        <f t="shared" si="95"/>
        <v>-4.6720016925713246</v>
      </c>
      <c r="X192" s="18">
        <f t="shared" si="96"/>
        <v>21.094108272616158</v>
      </c>
      <c r="Y192" s="18">
        <f t="shared" si="97"/>
        <v>17.2946446433413</v>
      </c>
      <c r="Z192" s="16">
        <f t="shared" si="113"/>
        <v>0.5</v>
      </c>
      <c r="AA192" s="18">
        <f t="shared" si="98"/>
        <v>-7.4999999999999997E-2</v>
      </c>
      <c r="AB192" s="18">
        <f t="shared" si="99"/>
        <v>0.2359874136531418</v>
      </c>
      <c r="AC192" s="18">
        <f t="shared" si="114"/>
        <v>5.1503146586714497</v>
      </c>
      <c r="AD192" s="18">
        <f t="shared" si="100"/>
        <v>-8.6621262423270867E-2</v>
      </c>
      <c r="AE192" s="18">
        <f t="shared" si="115"/>
        <v>-1.6482558151855171</v>
      </c>
      <c r="AF192" s="18">
        <f t="shared" si="101"/>
        <v>-2.0789102981585005E-2</v>
      </c>
      <c r="AG192" s="18">
        <f t="shared" si="119"/>
        <v>-0.3955813956445241</v>
      </c>
      <c r="AH192" s="19">
        <f t="shared" si="102"/>
        <v>2.6035254489375852</v>
      </c>
      <c r="AI192" s="19">
        <f t="shared" si="103"/>
        <v>6.1314210813682255</v>
      </c>
      <c r="AJ192" s="40">
        <f t="shared" si="104"/>
        <v>-14.691119194403715</v>
      </c>
      <c r="AK192" s="40">
        <f t="shared" si="105"/>
        <v>-11.163223561973073</v>
      </c>
      <c r="AL192" s="40">
        <f t="shared" si="106"/>
        <v>19.44585245743064</v>
      </c>
      <c r="AM192" s="40">
        <f t="shared" si="107"/>
        <v>22.049377906368225</v>
      </c>
      <c r="AN192" s="40">
        <f t="shared" si="116"/>
        <v>15.917956824999999</v>
      </c>
      <c r="AO192" s="40">
        <f t="shared" si="108"/>
        <v>4.7547332630269254</v>
      </c>
      <c r="AP192" s="17">
        <f t="shared" si="109"/>
        <v>0.4719748273062836</v>
      </c>
    </row>
    <row r="193" spans="2:42" x14ac:dyDescent="0.2">
      <c r="B193" s="2">
        <v>17</v>
      </c>
      <c r="C193" s="2">
        <f t="shared" si="110"/>
        <v>2025</v>
      </c>
      <c r="D193" s="36">
        <f t="shared" si="111"/>
        <v>15.470568066160732</v>
      </c>
      <c r="E193" s="36">
        <f t="shared" si="112"/>
        <v>15.323511259544658</v>
      </c>
      <c r="F193" s="36">
        <f t="shared" si="117"/>
        <v>2.5</v>
      </c>
      <c r="G193" s="36">
        <f t="shared" si="118"/>
        <v>2.4500000000000002</v>
      </c>
      <c r="H193" s="20">
        <f t="shared" si="80"/>
        <v>192.42221437793376</v>
      </c>
      <c r="I193" s="20">
        <f t="shared" si="81"/>
        <v>185.56192409131498</v>
      </c>
      <c r="J193" s="37">
        <f t="shared" si="82"/>
        <v>63.63440904629617</v>
      </c>
      <c r="K193" s="37">
        <f t="shared" si="83"/>
        <v>62.337964078249513</v>
      </c>
      <c r="L193" s="37">
        <f t="shared" si="84"/>
        <v>128.78780533163757</v>
      </c>
      <c r="M193" s="37">
        <f t="shared" si="85"/>
        <v>123.22396001306547</v>
      </c>
      <c r="N193" s="38">
        <f t="shared" si="86"/>
        <v>301</v>
      </c>
      <c r="O193" s="38">
        <f t="shared" si="87"/>
        <v>215</v>
      </c>
      <c r="P193" s="16">
        <f t="shared" si="88"/>
        <v>19.153957122935147</v>
      </c>
      <c r="Q193" s="16">
        <f t="shared" si="89"/>
        <v>27.689378146302076</v>
      </c>
      <c r="R193" s="18">
        <f t="shared" si="90"/>
        <v>-7.0265002903855835</v>
      </c>
      <c r="S193" s="38">
        <f t="shared" si="91"/>
        <v>99.33</v>
      </c>
      <c r="T193" s="38">
        <f t="shared" si="92"/>
        <v>215</v>
      </c>
      <c r="U193" s="16">
        <f t="shared" si="93"/>
        <v>6.1920299718925245</v>
      </c>
      <c r="V193" s="16">
        <f t="shared" si="94"/>
        <v>26.493151402809076</v>
      </c>
      <c r="W193" s="18">
        <f t="shared" si="95"/>
        <v>-4.9027772062052399</v>
      </c>
      <c r="X193" s="18">
        <f t="shared" si="96"/>
        <v>21.258533725142861</v>
      </c>
      <c r="Y193" s="18">
        <f t="shared" si="97"/>
        <v>17.450885559727762</v>
      </c>
      <c r="Z193" s="16">
        <f t="shared" si="113"/>
        <v>0.5</v>
      </c>
      <c r="AA193" s="18">
        <f t="shared" si="98"/>
        <v>-7.4999999999999997E-2</v>
      </c>
      <c r="AB193" s="18">
        <f t="shared" si="99"/>
        <v>0.22691097466648244</v>
      </c>
      <c r="AC193" s="18">
        <f t="shared" si="114"/>
        <v>5.3772256333379325</v>
      </c>
      <c r="AD193" s="18">
        <f t="shared" si="100"/>
        <v>-8.4571055028637224E-2</v>
      </c>
      <c r="AE193" s="18">
        <f t="shared" si="115"/>
        <v>-1.7328268702141543</v>
      </c>
      <c r="AF193" s="18">
        <f t="shared" si="101"/>
        <v>-2.0297053206872931E-2</v>
      </c>
      <c r="AG193" s="18">
        <f t="shared" si="119"/>
        <v>-0.41587844885139702</v>
      </c>
      <c r="AH193" s="19">
        <f t="shared" si="102"/>
        <v>2.8865258892855898</v>
      </c>
      <c r="AI193" s="19">
        <f t="shared" si="103"/>
        <v>6.4942759192142976</v>
      </c>
      <c r="AJ193" s="40">
        <f t="shared" si="104"/>
        <v>-14.564359670442173</v>
      </c>
      <c r="AK193" s="40">
        <f t="shared" si="105"/>
        <v>-10.956609640513463</v>
      </c>
      <c r="AL193" s="40">
        <f t="shared" si="106"/>
        <v>19.525706854928707</v>
      </c>
      <c r="AM193" s="40">
        <f t="shared" si="107"/>
        <v>22.412232744214297</v>
      </c>
      <c r="AN193" s="40">
        <f t="shared" si="116"/>
        <v>15.917956824999999</v>
      </c>
      <c r="AO193" s="40">
        <f t="shared" si="108"/>
        <v>4.9613471844865353</v>
      </c>
      <c r="AP193" s="17">
        <f t="shared" si="109"/>
        <v>0.45382194933296488</v>
      </c>
    </row>
    <row r="194" spans="2:42" x14ac:dyDescent="0.2">
      <c r="B194" s="2">
        <v>18</v>
      </c>
      <c r="C194" s="2">
        <f t="shared" si="110"/>
        <v>2026</v>
      </c>
      <c r="D194" s="36">
        <f t="shared" si="111"/>
        <v>15.554862385499124</v>
      </c>
      <c r="E194" s="36">
        <f t="shared" si="112"/>
        <v>15.39937614694921</v>
      </c>
      <c r="F194" s="36">
        <f t="shared" si="117"/>
        <v>2.53125</v>
      </c>
      <c r="G194" s="36">
        <f t="shared" si="118"/>
        <v>2.4781249999999999</v>
      </c>
      <c r="H194" s="20">
        <f t="shared" si="80"/>
        <v>196.5653729291019</v>
      </c>
      <c r="I194" s="20">
        <f t="shared" si="81"/>
        <v>189.20781540758708</v>
      </c>
      <c r="J194" s="37">
        <f t="shared" si="82"/>
        <v>64.382855552846081</v>
      </c>
      <c r="K194" s="37">
        <f t="shared" si="83"/>
        <v>63.005313644622447</v>
      </c>
      <c r="L194" s="37">
        <f t="shared" si="84"/>
        <v>132.18251737625582</v>
      </c>
      <c r="M194" s="37">
        <f t="shared" si="85"/>
        <v>126.20250176296463</v>
      </c>
      <c r="N194" s="38">
        <f t="shared" si="86"/>
        <v>308.875</v>
      </c>
      <c r="O194" s="38">
        <f t="shared" si="87"/>
        <v>220.625</v>
      </c>
      <c r="P194" s="16">
        <f t="shared" si="88"/>
        <v>19.886254508885333</v>
      </c>
      <c r="Q194" s="16">
        <f t="shared" si="89"/>
        <v>29.162767896136437</v>
      </c>
      <c r="R194" s="18">
        <f t="shared" si="90"/>
        <v>-7.3573533607532653</v>
      </c>
      <c r="S194" s="38">
        <f t="shared" si="91"/>
        <v>101.92875000000001</v>
      </c>
      <c r="T194" s="38">
        <f t="shared" si="92"/>
        <v>220.625</v>
      </c>
      <c r="U194" s="16">
        <f t="shared" si="93"/>
        <v>6.4220528631543115</v>
      </c>
      <c r="V194" s="16">
        <f t="shared" si="94"/>
        <v>27.84342695145407</v>
      </c>
      <c r="W194" s="18">
        <f t="shared" si="95"/>
        <v>-5.1398219721912577</v>
      </c>
      <c r="X194" s="18">
        <f t="shared" si="96"/>
        <v>21.403387462233894</v>
      </c>
      <c r="Y194" s="18">
        <f t="shared" si="97"/>
        <v>17.590980593093821</v>
      </c>
      <c r="Z194" s="16">
        <f t="shared" si="113"/>
        <v>0.5</v>
      </c>
      <c r="AA194" s="18">
        <f t="shared" si="98"/>
        <v>-7.4999999999999997E-2</v>
      </c>
      <c r="AB194" s="18">
        <f t="shared" si="99"/>
        <v>0.21818362948700235</v>
      </c>
      <c r="AC194" s="18">
        <f t="shared" si="114"/>
        <v>5.5954092628249352</v>
      </c>
      <c r="AD194" s="18">
        <f t="shared" si="100"/>
        <v>-8.2550417932964651E-2</v>
      </c>
      <c r="AE194" s="18">
        <f t="shared" si="115"/>
        <v>-1.8153772881471189</v>
      </c>
      <c r="AF194" s="18">
        <f t="shared" si="101"/>
        <v>-1.9812100303911513E-2</v>
      </c>
      <c r="AG194" s="18">
        <f t="shared" si="119"/>
        <v>-0.43569054915530853</v>
      </c>
      <c r="AH194" s="19">
        <f t="shared" si="102"/>
        <v>3.1626891326766717</v>
      </c>
      <c r="AI194" s="19">
        <f t="shared" si="103"/>
        <v>6.8327424817634483</v>
      </c>
      <c r="AJ194" s="40">
        <f t="shared" si="104"/>
        <v>-14.428291460417149</v>
      </c>
      <c r="AK194" s="40">
        <f t="shared" si="105"/>
        <v>-10.758238111330373</v>
      </c>
      <c r="AL194" s="40">
        <f t="shared" si="106"/>
        <v>19.588010174086776</v>
      </c>
      <c r="AM194" s="40">
        <f t="shared" si="107"/>
        <v>22.750699306763448</v>
      </c>
      <c r="AN194" s="40">
        <f t="shared" si="116"/>
        <v>15.917956824999999</v>
      </c>
      <c r="AO194" s="40">
        <f t="shared" si="108"/>
        <v>5.1597187136696263</v>
      </c>
      <c r="AP194" s="17">
        <f t="shared" si="109"/>
        <v>0.43636725897400469</v>
      </c>
    </row>
    <row r="195" spans="2:42" x14ac:dyDescent="0.2">
      <c r="B195" s="2">
        <v>19</v>
      </c>
      <c r="C195" s="2">
        <f t="shared" si="110"/>
        <v>2027</v>
      </c>
      <c r="D195" s="36">
        <f t="shared" si="111"/>
        <v>15.638313761644133</v>
      </c>
      <c r="E195" s="36">
        <f t="shared" si="112"/>
        <v>15.474482385479718</v>
      </c>
      <c r="F195" s="36">
        <f t="shared" si="117"/>
        <v>2.5625</v>
      </c>
      <c r="G195" s="36">
        <f t="shared" si="118"/>
        <v>2.5062500000000001</v>
      </c>
      <c r="H195" s="20">
        <f t="shared" si="80"/>
        <v>200.73636148220842</v>
      </c>
      <c r="I195" s="20">
        <f t="shared" si="81"/>
        <v>192.8742647088543</v>
      </c>
      <c r="J195" s="37">
        <f t="shared" si="82"/>
        <v>65.127630850454182</v>
      </c>
      <c r="K195" s="37">
        <f t="shared" si="83"/>
        <v>63.669078452791823</v>
      </c>
      <c r="L195" s="37">
        <f t="shared" si="84"/>
        <v>135.60873063175424</v>
      </c>
      <c r="M195" s="37">
        <f t="shared" si="85"/>
        <v>129.20518625606246</v>
      </c>
      <c r="N195" s="38">
        <f t="shared" si="86"/>
        <v>316.75</v>
      </c>
      <c r="O195" s="38">
        <f t="shared" si="87"/>
        <v>226.25</v>
      </c>
      <c r="P195" s="16">
        <f t="shared" si="88"/>
        <v>20.629177071881362</v>
      </c>
      <c r="Q195" s="16">
        <f t="shared" si="89"/>
        <v>30.681475305434397</v>
      </c>
      <c r="R195" s="18">
        <f t="shared" si="90"/>
        <v>-7.6965978565973643</v>
      </c>
      <c r="S195" s="38">
        <f t="shared" si="91"/>
        <v>104.5275</v>
      </c>
      <c r="T195" s="38">
        <f t="shared" si="92"/>
        <v>226.25</v>
      </c>
      <c r="U195" s="16">
        <f t="shared" si="93"/>
        <v>6.655169597974198</v>
      </c>
      <c r="V195" s="16">
        <f t="shared" si="94"/>
        <v>29.232673390434133</v>
      </c>
      <c r="W195" s="18">
        <f t="shared" si="95"/>
        <v>-5.3831764482612492</v>
      </c>
      <c r="X195" s="18">
        <f t="shared" si="96"/>
        <v>21.52912378274738</v>
      </c>
      <c r="Y195" s="18">
        <f t="shared" si="97"/>
        <v>17.715248501517188</v>
      </c>
      <c r="Z195" s="16">
        <f t="shared" si="113"/>
        <v>0.5</v>
      </c>
      <c r="AA195" s="18">
        <f t="shared" si="98"/>
        <v>-7.4999999999999997E-2</v>
      </c>
      <c r="AB195" s="18">
        <f t="shared" si="99"/>
        <v>0.20979195142980991</v>
      </c>
      <c r="AC195" s="18">
        <f t="shared" si="114"/>
        <v>5.8052012142547449</v>
      </c>
      <c r="AD195" s="18">
        <f t="shared" si="100"/>
        <v>-8.0560109349047004E-2</v>
      </c>
      <c r="AE195" s="18">
        <f t="shared" si="115"/>
        <v>-1.8959373974961657</v>
      </c>
      <c r="AF195" s="18">
        <f t="shared" si="101"/>
        <v>-1.9334426243771279E-2</v>
      </c>
      <c r="AG195" s="18">
        <f t="shared" si="119"/>
        <v>-0.45502497539907982</v>
      </c>
      <c r="AH195" s="19">
        <f t="shared" si="102"/>
        <v>3.4322383551216369</v>
      </c>
      <c r="AI195" s="19">
        <f t="shared" si="103"/>
        <v>7.147467915372852</v>
      </c>
      <c r="AJ195" s="40">
        <f t="shared" si="104"/>
        <v>-14.283010146395549</v>
      </c>
      <c r="AK195" s="40">
        <f t="shared" si="105"/>
        <v>-10.567780586144334</v>
      </c>
      <c r="AL195" s="40">
        <f t="shared" si="106"/>
        <v>19.633186385251214</v>
      </c>
      <c r="AM195" s="40">
        <f t="shared" si="107"/>
        <v>23.065424740372851</v>
      </c>
      <c r="AN195" s="40">
        <f t="shared" si="116"/>
        <v>15.917956824999999</v>
      </c>
      <c r="AO195" s="40">
        <f t="shared" si="108"/>
        <v>5.3501762388556653</v>
      </c>
      <c r="AP195" s="17">
        <f t="shared" si="109"/>
        <v>0.41958390285961988</v>
      </c>
    </row>
    <row r="196" spans="2:42" x14ac:dyDescent="0.2">
      <c r="B196" s="2">
        <v>20</v>
      </c>
      <c r="C196" s="2">
        <f t="shared" si="110"/>
        <v>2028</v>
      </c>
      <c r="D196" s="36">
        <f t="shared" si="111"/>
        <v>15.720930624027691</v>
      </c>
      <c r="E196" s="36">
        <f t="shared" si="112"/>
        <v>15.54883756162492</v>
      </c>
      <c r="F196" s="36">
        <f t="shared" si="117"/>
        <v>2.59375</v>
      </c>
      <c r="G196" s="36">
        <f t="shared" si="118"/>
        <v>2.5343749999999998</v>
      </c>
      <c r="H196" s="20">
        <f t="shared" si="80"/>
        <v>204.93450533955172</v>
      </c>
      <c r="I196" s="20">
        <f t="shared" si="81"/>
        <v>196.56073477369668</v>
      </c>
      <c r="J196" s="37">
        <f t="shared" si="82"/>
        <v>65.868695767412973</v>
      </c>
      <c r="K196" s="37">
        <f t="shared" si="83"/>
        <v>64.329232884464204</v>
      </c>
      <c r="L196" s="37">
        <f t="shared" si="84"/>
        <v>139.06580957213873</v>
      </c>
      <c r="M196" s="37">
        <f t="shared" si="85"/>
        <v>132.23150188923248</v>
      </c>
      <c r="N196" s="38">
        <f t="shared" si="86"/>
        <v>324.625</v>
      </c>
      <c r="O196" s="38">
        <f t="shared" si="87"/>
        <v>231.875</v>
      </c>
      <c r="P196" s="16">
        <f t="shared" si="88"/>
        <v>21.382625363496437</v>
      </c>
      <c r="Q196" s="16">
        <f t="shared" si="89"/>
        <v>32.245884594539667</v>
      </c>
      <c r="R196" s="18">
        <f t="shared" si="90"/>
        <v>-8.0442764937054161</v>
      </c>
      <c r="S196" s="38">
        <f t="shared" si="91"/>
        <v>107.12625</v>
      </c>
      <c r="T196" s="38">
        <f t="shared" si="92"/>
        <v>231.875</v>
      </c>
      <c r="U196" s="16">
        <f t="shared" si="93"/>
        <v>6.891349484289333</v>
      </c>
      <c r="V196" s="16">
        <f t="shared" si="94"/>
        <v>30.66117950056578</v>
      </c>
      <c r="W196" s="18">
        <f t="shared" si="95"/>
        <v>-5.6328793477282675</v>
      </c>
      <c r="X196" s="18">
        <f t="shared" si="96"/>
        <v>21.636211069941133</v>
      </c>
      <c r="Y196" s="18">
        <f t="shared" si="97"/>
        <v>17.824023386554874</v>
      </c>
      <c r="Z196" s="16">
        <f t="shared" si="113"/>
        <v>0.5</v>
      </c>
      <c r="AA196" s="18">
        <f t="shared" si="98"/>
        <v>-7.4999999999999997E-2</v>
      </c>
      <c r="AB196" s="18">
        <f t="shared" si="99"/>
        <v>0.2017230302209711</v>
      </c>
      <c r="AC196" s="18">
        <f t="shared" si="114"/>
        <v>6.0069242444757158</v>
      </c>
      <c r="AD196" s="18">
        <f t="shared" si="100"/>
        <v>-7.8600785422571318E-2</v>
      </c>
      <c r="AE196" s="18">
        <f t="shared" si="115"/>
        <v>-1.974538182918737</v>
      </c>
      <c r="AF196" s="18">
        <f t="shared" si="101"/>
        <v>-1.8864188501417117E-2</v>
      </c>
      <c r="AG196" s="18">
        <f t="shared" si="119"/>
        <v>-0.47388916390049696</v>
      </c>
      <c r="AH196" s="19">
        <f t="shared" si="102"/>
        <v>3.6953855801076934</v>
      </c>
      <c r="AI196" s="19">
        <f t="shared" si="103"/>
        <v>7.4391016421300922</v>
      </c>
      <c r="AJ196" s="40">
        <f t="shared" si="104"/>
        <v>-14.128637806447179</v>
      </c>
      <c r="AK196" s="40">
        <f t="shared" si="105"/>
        <v>-10.38492174442478</v>
      </c>
      <c r="AL196" s="40">
        <f t="shared" si="106"/>
        <v>19.661672887022398</v>
      </c>
      <c r="AM196" s="40">
        <f t="shared" si="107"/>
        <v>23.357058467130091</v>
      </c>
      <c r="AN196" s="40">
        <f t="shared" si="116"/>
        <v>15.917956824999999</v>
      </c>
      <c r="AO196" s="40">
        <f t="shared" si="108"/>
        <v>5.5330350805752193</v>
      </c>
      <c r="AP196" s="17">
        <f t="shared" si="109"/>
        <v>0.4034460604419422</v>
      </c>
    </row>
    <row r="197" spans="2:42" x14ac:dyDescent="0.2">
      <c r="B197" s="2">
        <v>21</v>
      </c>
      <c r="C197" s="2">
        <f t="shared" si="110"/>
        <v>2029</v>
      </c>
      <c r="D197" s="36">
        <f t="shared" si="111"/>
        <v>15.802721317787414</v>
      </c>
      <c r="E197" s="36">
        <f t="shared" si="112"/>
        <v>15.622449186008671</v>
      </c>
      <c r="F197" s="36">
        <f t="shared" si="117"/>
        <v>2.625</v>
      </c>
      <c r="G197" s="36">
        <f t="shared" si="118"/>
        <v>2.5625</v>
      </c>
      <c r="H197" s="20">
        <f t="shared" si="80"/>
        <v>209.15913061183463</v>
      </c>
      <c r="I197" s="20">
        <f t="shared" si="81"/>
        <v>200.26669008365084</v>
      </c>
      <c r="J197" s="37">
        <f t="shared" si="82"/>
        <v>66.606013033819721</v>
      </c>
      <c r="K197" s="37">
        <f t="shared" si="83"/>
        <v>64.98575280070007</v>
      </c>
      <c r="L197" s="37">
        <f t="shared" si="84"/>
        <v>142.55311757801491</v>
      </c>
      <c r="M197" s="37">
        <f t="shared" si="85"/>
        <v>135.28093728295079</v>
      </c>
      <c r="N197" s="38">
        <f t="shared" si="86"/>
        <v>332.5</v>
      </c>
      <c r="O197" s="38">
        <f t="shared" si="87"/>
        <v>237.5</v>
      </c>
      <c r="P197" s="16">
        <f t="shared" si="88"/>
        <v>22.146499333745059</v>
      </c>
      <c r="Q197" s="16">
        <f t="shared" si="89"/>
        <v>33.856365424778538</v>
      </c>
      <c r="R197" s="18">
        <f t="shared" si="90"/>
        <v>-8.4004297137785393</v>
      </c>
      <c r="S197" s="38">
        <f t="shared" si="91"/>
        <v>109.72499999999999</v>
      </c>
      <c r="T197" s="38">
        <f t="shared" si="92"/>
        <v>237.5</v>
      </c>
      <c r="U197" s="16">
        <f t="shared" si="93"/>
        <v>7.1305617260568148</v>
      </c>
      <c r="V197" s="16">
        <f t="shared" si="94"/>
        <v>32.129222604700807</v>
      </c>
      <c r="W197" s="18">
        <f t="shared" si="95"/>
        <v>-5.8889676496136438</v>
      </c>
      <c r="X197" s="18">
        <f t="shared" si="96"/>
        <v>21.725129961816567</v>
      </c>
      <c r="Y197" s="18">
        <f t="shared" si="97"/>
        <v>17.917653079235809</v>
      </c>
      <c r="Z197" s="16">
        <f t="shared" si="113"/>
        <v>0.5</v>
      </c>
      <c r="AA197" s="18">
        <f t="shared" si="98"/>
        <v>-7.4999999999999997E-2</v>
      </c>
      <c r="AB197" s="18">
        <f t="shared" si="99"/>
        <v>0.19396445213554911</v>
      </c>
      <c r="AC197" s="18">
        <f t="shared" si="114"/>
        <v>6.2008886966112646</v>
      </c>
      <c r="AD197" s="18">
        <f t="shared" si="100"/>
        <v>-7.6673006961817058E-2</v>
      </c>
      <c r="AE197" s="18">
        <f t="shared" si="115"/>
        <v>-2.0512111898805538</v>
      </c>
      <c r="AF197" s="18">
        <f t="shared" si="101"/>
        <v>-1.8401521670836092E-2</v>
      </c>
      <c r="AG197" s="18">
        <f t="shared" si="119"/>
        <v>-0.49229068557133304</v>
      </c>
      <c r="AH197" s="19">
        <f t="shared" si="102"/>
        <v>3.9523323183397281</v>
      </c>
      <c r="AI197" s="19">
        <f t="shared" si="103"/>
        <v>7.7082942652757414</v>
      </c>
      <c r="AJ197" s="40">
        <f t="shared" si="104"/>
        <v>-13.965320760896081</v>
      </c>
      <c r="AK197" s="40">
        <f t="shared" si="105"/>
        <v>-10.209358813960067</v>
      </c>
      <c r="AL197" s="40">
        <f t="shared" si="106"/>
        <v>19.673918771936012</v>
      </c>
      <c r="AM197" s="40">
        <f t="shared" si="107"/>
        <v>23.626251090275741</v>
      </c>
      <c r="AN197" s="40">
        <f t="shared" si="116"/>
        <v>15.917956824999999</v>
      </c>
      <c r="AO197" s="40">
        <f t="shared" si="108"/>
        <v>5.7085980110399319</v>
      </c>
      <c r="AP197" s="17">
        <f t="shared" si="109"/>
        <v>0.38792890427109833</v>
      </c>
    </row>
    <row r="198" spans="2:42" x14ac:dyDescent="0.2">
      <c r="B198" s="2">
        <v>22</v>
      </c>
      <c r="C198" s="2">
        <f t="shared" si="110"/>
        <v>2030</v>
      </c>
      <c r="D198" s="36">
        <f t="shared" si="111"/>
        <v>15.883694104609541</v>
      </c>
      <c r="E198" s="36">
        <f t="shared" si="112"/>
        <v>15.695324694148585</v>
      </c>
      <c r="F198" s="36">
        <f t="shared" si="117"/>
        <v>2.65625</v>
      </c>
      <c r="G198" s="36">
        <f t="shared" si="118"/>
        <v>2.5906250000000002</v>
      </c>
      <c r="H198" s="20">
        <f t="shared" si="80"/>
        <v>213.40956448716076</v>
      </c>
      <c r="I198" s="20">
        <f t="shared" si="81"/>
        <v>203.99159699461723</v>
      </c>
      <c r="J198" s="37">
        <f t="shared" si="82"/>
        <v>67.3395472325074</v>
      </c>
      <c r="K198" s="37">
        <f t="shared" si="83"/>
        <v>65.638615502779047</v>
      </c>
      <c r="L198" s="37">
        <f t="shared" si="84"/>
        <v>146.07001725465335</v>
      </c>
      <c r="M198" s="37">
        <f t="shared" si="85"/>
        <v>138.35298149183819</v>
      </c>
      <c r="N198" s="38">
        <f t="shared" si="86"/>
        <v>340.375</v>
      </c>
      <c r="O198" s="38">
        <f t="shared" si="87"/>
        <v>243.125</v>
      </c>
      <c r="P198" s="16">
        <f t="shared" si="88"/>
        <v>22.920698389264704</v>
      </c>
      <c r="Q198" s="16">
        <f t="shared" si="89"/>
        <v>35.513272945037599</v>
      </c>
      <c r="R198" s="18">
        <f t="shared" si="90"/>
        <v>-8.7650957001453449</v>
      </c>
      <c r="S198" s="38">
        <f t="shared" si="91"/>
        <v>112.32374999999999</v>
      </c>
      <c r="T198" s="38">
        <f t="shared" si="92"/>
        <v>243.125</v>
      </c>
      <c r="U198" s="16">
        <f t="shared" si="93"/>
        <v>7.3727754380802768</v>
      </c>
      <c r="V198" s="16">
        <f t="shared" si="94"/>
        <v>33.637068625203163</v>
      </c>
      <c r="W198" s="18">
        <f t="shared" si="95"/>
        <v>-6.1514766094925157</v>
      </c>
      <c r="X198" s="18">
        <f t="shared" si="96"/>
        <v>21.796371607619857</v>
      </c>
      <c r="Y198" s="18">
        <f t="shared" si="97"/>
        <v>17.996497592531838</v>
      </c>
      <c r="Z198" s="16">
        <f t="shared" si="113"/>
        <v>0.5</v>
      </c>
      <c r="AA198" s="18">
        <f t="shared" si="98"/>
        <v>-7.4999999999999997E-2</v>
      </c>
      <c r="AB198" s="18">
        <f t="shared" si="99"/>
        <v>0.18650428089956642</v>
      </c>
      <c r="AC198" s="18">
        <f t="shared" si="114"/>
        <v>6.3873929775108307</v>
      </c>
      <c r="AD198" s="18">
        <f t="shared" si="100"/>
        <v>-7.4777245800673214E-2</v>
      </c>
      <c r="AE198" s="18">
        <f t="shared" si="115"/>
        <v>-2.1259884356812271</v>
      </c>
      <c r="AF198" s="18">
        <f t="shared" si="101"/>
        <v>-1.794653899216157E-2</v>
      </c>
      <c r="AG198" s="18">
        <f t="shared" si="119"/>
        <v>-0.51023722456349463</v>
      </c>
      <c r="AH198" s="19">
        <f t="shared" si="102"/>
        <v>4.2032701735405453</v>
      </c>
      <c r="AI198" s="19">
        <f t="shared" si="103"/>
        <v>7.9556965204791776</v>
      </c>
      <c r="AJ198" s="40">
        <f t="shared" si="104"/>
        <v>-13.793227418991297</v>
      </c>
      <c r="AK198" s="40">
        <f t="shared" si="105"/>
        <v>-10.040801072052663</v>
      </c>
      <c r="AL198" s="40">
        <f t="shared" si="106"/>
        <v>19.670383171938632</v>
      </c>
      <c r="AM198" s="40">
        <f t="shared" si="107"/>
        <v>23.873653345479177</v>
      </c>
      <c r="AN198" s="40">
        <f t="shared" si="116"/>
        <v>15.917956824999999</v>
      </c>
      <c r="AO198" s="40">
        <f t="shared" si="108"/>
        <v>5.8771557529473357</v>
      </c>
      <c r="AP198" s="17">
        <f t="shared" si="109"/>
        <v>0.37300856179913289</v>
      </c>
    </row>
    <row r="199" spans="2:42" x14ac:dyDescent="0.2">
      <c r="B199" s="2">
        <v>23</v>
      </c>
      <c r="C199" s="2">
        <f t="shared" si="110"/>
        <v>2031</v>
      </c>
      <c r="D199" s="36">
        <f t="shared" si="111"/>
        <v>15.963857163563445</v>
      </c>
      <c r="E199" s="36">
        <f t="shared" si="112"/>
        <v>15.767471447207098</v>
      </c>
      <c r="F199" s="36">
        <f t="shared" si="117"/>
        <v>2.6875</v>
      </c>
      <c r="G199" s="36">
        <f t="shared" si="118"/>
        <v>2.6187499999999999</v>
      </c>
      <c r="H199" s="20">
        <f t="shared" si="80"/>
        <v>217.68513548907993</v>
      </c>
      <c r="I199" s="20">
        <f t="shared" si="81"/>
        <v>207.73492390083172</v>
      </c>
      <c r="J199" s="37">
        <f t="shared" si="82"/>
        <v>68.069264751064807</v>
      </c>
      <c r="K199" s="37">
        <f t="shared" si="83"/>
        <v>66.287799693941054</v>
      </c>
      <c r="L199" s="37">
        <f t="shared" si="84"/>
        <v>149.61587073801513</v>
      </c>
      <c r="M199" s="37">
        <f t="shared" si="85"/>
        <v>141.44712420689066</v>
      </c>
      <c r="N199" s="38">
        <f t="shared" si="86"/>
        <v>348.25</v>
      </c>
      <c r="O199" s="38">
        <f t="shared" si="87"/>
        <v>248.75</v>
      </c>
      <c r="P199" s="16">
        <f t="shared" si="88"/>
        <v>23.70512144955832</v>
      </c>
      <c r="Q199" s="16">
        <f t="shared" si="89"/>
        <v>37.216947846081261</v>
      </c>
      <c r="R199" s="18">
        <f t="shared" si="90"/>
        <v>-9.1383103943459361</v>
      </c>
      <c r="S199" s="38">
        <f t="shared" si="91"/>
        <v>114.9225</v>
      </c>
      <c r="T199" s="38">
        <f t="shared" si="92"/>
        <v>248.75</v>
      </c>
      <c r="U199" s="16">
        <f t="shared" si="93"/>
        <v>7.6179596603269406</v>
      </c>
      <c r="V199" s="16">
        <f t="shared" si="94"/>
        <v>35.184972146464055</v>
      </c>
      <c r="W199" s="18">
        <f t="shared" si="95"/>
        <v>-6.4204397710186489</v>
      </c>
      <c r="X199" s="18">
        <f t="shared" si="96"/>
        <v>21.850436009416953</v>
      </c>
      <c r="Y199" s="18">
        <f t="shared" si="97"/>
        <v>18.060927640313878</v>
      </c>
      <c r="Z199" s="16">
        <f t="shared" si="113"/>
        <v>0.5</v>
      </c>
      <c r="AA199" s="18">
        <f t="shared" si="98"/>
        <v>-7.4999999999999997E-2</v>
      </c>
      <c r="AB199" s="18">
        <f t="shared" si="99"/>
        <v>0.17933103932650618</v>
      </c>
      <c r="AC199" s="18">
        <f t="shared" si="114"/>
        <v>6.5667240168373366</v>
      </c>
      <c r="AD199" s="18">
        <f t="shared" si="100"/>
        <v>-7.291389081322415E-2</v>
      </c>
      <c r="AE199" s="18">
        <f t="shared" si="115"/>
        <v>-2.1989023264944514</v>
      </c>
      <c r="AF199" s="18">
        <f t="shared" si="101"/>
        <v>-1.7499333795173797E-2</v>
      </c>
      <c r="AG199" s="18">
        <f t="shared" si="119"/>
        <v>-0.5277365583586684</v>
      </c>
      <c r="AH199" s="19">
        <f t="shared" si="102"/>
        <v>4.4483814158700454</v>
      </c>
      <c r="AI199" s="19">
        <f t="shared" si="103"/>
        <v>8.1819582737925476</v>
      </c>
      <c r="AJ199" s="40">
        <f t="shared" si="104"/>
        <v>-13.612546224443832</v>
      </c>
      <c r="AK199" s="40">
        <f t="shared" si="105"/>
        <v>-9.8789693665213321</v>
      </c>
      <c r="AL199" s="40">
        <f t="shared" si="106"/>
        <v>19.651533682922501</v>
      </c>
      <c r="AM199" s="40">
        <f t="shared" si="107"/>
        <v>24.099915098792547</v>
      </c>
      <c r="AN199" s="40">
        <f t="shared" si="116"/>
        <v>15.917956824999999</v>
      </c>
      <c r="AO199" s="40">
        <f t="shared" si="108"/>
        <v>6.038987458478668</v>
      </c>
      <c r="AP199" s="17">
        <f t="shared" si="109"/>
        <v>0.35866207865301236</v>
      </c>
    </row>
    <row r="200" spans="2:42" x14ac:dyDescent="0.2">
      <c r="B200" s="2">
        <v>24</v>
      </c>
      <c r="C200" s="2">
        <f t="shared" si="110"/>
        <v>2032</v>
      </c>
      <c r="D200" s="36">
        <f t="shared" si="111"/>
        <v>16.043218591927811</v>
      </c>
      <c r="E200" s="36">
        <f t="shared" si="112"/>
        <v>15.838896732735028</v>
      </c>
      <c r="F200" s="36">
        <f t="shared" si="117"/>
        <v>2.71875</v>
      </c>
      <c r="G200" s="36">
        <f t="shared" si="118"/>
        <v>2.6468750000000001</v>
      </c>
      <c r="H200" s="20">
        <f t="shared" si="80"/>
        <v>221.98517372400698</v>
      </c>
      <c r="I200" s="20">
        <f t="shared" si="81"/>
        <v>211.49614139162696</v>
      </c>
      <c r="J200" s="37">
        <f t="shared" si="82"/>
        <v>68.795133734922331</v>
      </c>
      <c r="K200" s="37">
        <f t="shared" si="83"/>
        <v>66.93328544198485</v>
      </c>
      <c r="L200" s="37">
        <f t="shared" si="84"/>
        <v>153.19003998908465</v>
      </c>
      <c r="M200" s="37">
        <f t="shared" si="85"/>
        <v>144.56285594964211</v>
      </c>
      <c r="N200" s="38">
        <f t="shared" si="86"/>
        <v>406.125</v>
      </c>
      <c r="O200" s="38">
        <f t="shared" si="87"/>
        <v>304.375</v>
      </c>
      <c r="P200" s="16">
        <f t="shared" si="88"/>
        <v>27.939423688095331</v>
      </c>
      <c r="Q200" s="16">
        <f t="shared" si="89"/>
        <v>46.62721842167764</v>
      </c>
      <c r="R200" s="18">
        <f t="shared" si="90"/>
        <v>-11.184996316465945</v>
      </c>
      <c r="S200" s="38">
        <f t="shared" si="91"/>
        <v>117.52124999999999</v>
      </c>
      <c r="T200" s="38">
        <f t="shared" si="92"/>
        <v>254.375</v>
      </c>
      <c r="U200" s="16">
        <f t="shared" si="93"/>
        <v>7.8660833717488616</v>
      </c>
      <c r="V200" s="16">
        <f t="shared" si="94"/>
        <v>36.773176482190216</v>
      </c>
      <c r="W200" s="18">
        <f t="shared" si="95"/>
        <v>-6.6958889780908617</v>
      </c>
      <c r="X200" s="18">
        <f t="shared" si="96"/>
        <v>25.715602747371559</v>
      </c>
      <c r="Y200" s="18">
        <f t="shared" si="97"/>
        <v>18.111323222563072</v>
      </c>
      <c r="Z200" s="16">
        <f t="shared" si="113"/>
        <v>0.5</v>
      </c>
      <c r="AA200" s="18">
        <f t="shared" si="98"/>
        <v>-7.4999999999999997E-2</v>
      </c>
      <c r="AB200" s="18">
        <f t="shared" si="99"/>
        <v>0.17243369166010211</v>
      </c>
      <c r="AC200" s="18">
        <f t="shared" si="114"/>
        <v>6.739157708497439</v>
      </c>
      <c r="AD200" s="18">
        <f t="shared" si="100"/>
        <v>-7.1083253597293852E-2</v>
      </c>
      <c r="AE200" s="18">
        <f t="shared" si="115"/>
        <v>-2.2699855800917454</v>
      </c>
      <c r="AF200" s="18">
        <f t="shared" si="101"/>
        <v>-1.7059980863350525E-2</v>
      </c>
      <c r="AG200" s="18">
        <f t="shared" si="119"/>
        <v>-0.54479653922201887</v>
      </c>
      <c r="AH200" s="19">
        <f t="shared" si="102"/>
        <v>0.86006722455867646</v>
      </c>
      <c r="AI200" s="19">
        <f t="shared" si="103"/>
        <v>8.3877275668384907</v>
      </c>
      <c r="AJ200" s="40">
        <f t="shared" si="104"/>
        <v>-17.251255998004392</v>
      </c>
      <c r="AK200" s="40">
        <f t="shared" si="105"/>
        <v>-9.72359565572458</v>
      </c>
      <c r="AL200" s="40">
        <f t="shared" si="106"/>
        <v>23.445617167279813</v>
      </c>
      <c r="AM200" s="40">
        <f t="shared" si="107"/>
        <v>24.30568439183849</v>
      </c>
      <c r="AN200" s="40">
        <f t="shared" si="116"/>
        <v>15.917956824999999</v>
      </c>
      <c r="AO200" s="40">
        <f t="shared" si="108"/>
        <v>6.1943611692754201</v>
      </c>
      <c r="AP200" s="17">
        <f t="shared" si="109"/>
        <v>0.34486738332020422</v>
      </c>
    </row>
    <row r="201" spans="2:42" x14ac:dyDescent="0.2">
      <c r="B201" s="2">
        <v>25</v>
      </c>
      <c r="C201" s="2">
        <f t="shared" si="110"/>
        <v>2033</v>
      </c>
      <c r="D201" s="36">
        <f t="shared" si="111"/>
        <v>16.121786406008532</v>
      </c>
      <c r="E201" s="36">
        <f t="shared" si="112"/>
        <v>15.909607765407678</v>
      </c>
      <c r="F201" s="36">
        <f t="shared" si="117"/>
        <v>2.75</v>
      </c>
      <c r="G201" s="36">
        <f t="shared" si="118"/>
        <v>2.6749999999999998</v>
      </c>
      <c r="H201" s="20">
        <f t="shared" si="80"/>
        <v>226.30901111832873</v>
      </c>
      <c r="I201" s="20">
        <f t="shared" si="81"/>
        <v>215.27472240119613</v>
      </c>
      <c r="J201" s="37">
        <f t="shared" si="82"/>
        <v>69.517124041481225</v>
      </c>
      <c r="K201" s="37">
        <f t="shared" si="83"/>
        <v>67.575054142705611</v>
      </c>
      <c r="L201" s="37">
        <f t="shared" si="84"/>
        <v>156.7918870768475</v>
      </c>
      <c r="M201" s="37">
        <f t="shared" si="85"/>
        <v>147.69966825849053</v>
      </c>
      <c r="N201" s="38">
        <f t="shared" si="86"/>
        <v>414</v>
      </c>
      <c r="O201" s="38">
        <f t="shared" si="87"/>
        <v>310</v>
      </c>
      <c r="P201" s="16">
        <f t="shared" si="88"/>
        <v>28.780089353173224</v>
      </c>
      <c r="Q201" s="16">
        <f t="shared" si="89"/>
        <v>48.605484993822728</v>
      </c>
      <c r="R201" s="18">
        <f t="shared" si="90"/>
        <v>-11.607836152049392</v>
      </c>
      <c r="S201" s="38">
        <f t="shared" si="91"/>
        <v>120.12</v>
      </c>
      <c r="T201" s="38">
        <f t="shared" si="92"/>
        <v>260</v>
      </c>
      <c r="U201" s="16">
        <f t="shared" si="93"/>
        <v>8.1171155036217986</v>
      </c>
      <c r="V201" s="16">
        <f t="shared" si="94"/>
        <v>38.401913747207537</v>
      </c>
      <c r="W201" s="18">
        <f t="shared" si="95"/>
        <v>-6.9778543876243999</v>
      </c>
      <c r="X201" s="18">
        <f t="shared" si="96"/>
        <v>25.661308203634245</v>
      </c>
      <c r="Y201" s="18">
        <f t="shared" si="97"/>
        <v>18.148072276390895</v>
      </c>
      <c r="Z201" s="16">
        <f t="shared" si="113"/>
        <v>0.5</v>
      </c>
      <c r="AA201" s="18">
        <f t="shared" si="98"/>
        <v>-7.4999999999999997E-2</v>
      </c>
      <c r="AB201" s="18">
        <f t="shared" si="99"/>
        <v>0.16580162659625203</v>
      </c>
      <c r="AC201" s="18">
        <f t="shared" si="114"/>
        <v>6.9049593350936913</v>
      </c>
      <c r="AD201" s="18">
        <f t="shared" si="100"/>
        <v>-6.9285573843516135E-2</v>
      </c>
      <c r="AE201" s="18">
        <f t="shared" si="115"/>
        <v>-2.3392711539352615</v>
      </c>
      <c r="AF201" s="18">
        <f t="shared" si="101"/>
        <v>-1.6628537722443871E-2</v>
      </c>
      <c r="AG201" s="18">
        <f t="shared" si="119"/>
        <v>-0.56142507694446275</v>
      </c>
      <c r="AH201" s="19">
        <f t="shared" si="102"/>
        <v>1.1695694848411371</v>
      </c>
      <c r="AI201" s="19">
        <f t="shared" si="103"/>
        <v>8.5736497095401223</v>
      </c>
      <c r="AJ201" s="40">
        <f t="shared" si="104"/>
        <v>-16.978502791549758</v>
      </c>
      <c r="AK201" s="40">
        <f t="shared" si="105"/>
        <v>-9.574422566850771</v>
      </c>
      <c r="AL201" s="40">
        <f t="shared" si="106"/>
        <v>23.322037049698984</v>
      </c>
      <c r="AM201" s="40">
        <f t="shared" si="107"/>
        <v>24.491606534540121</v>
      </c>
      <c r="AN201" s="40">
        <f t="shared" si="116"/>
        <v>15.917956824999999</v>
      </c>
      <c r="AO201" s="40">
        <f t="shared" si="108"/>
        <v>6.3435342581492282</v>
      </c>
      <c r="AP201" s="17">
        <f t="shared" si="109"/>
        <v>0.33160325319250405</v>
      </c>
    </row>
    <row r="202" spans="2:42" x14ac:dyDescent="0.2">
      <c r="B202" s="2">
        <v>26</v>
      </c>
      <c r="C202" s="2">
        <f t="shared" si="110"/>
        <v>2034</v>
      </c>
      <c r="D202" s="36">
        <f t="shared" si="111"/>
        <v>16.199568541948448</v>
      </c>
      <c r="E202" s="36">
        <f t="shared" si="112"/>
        <v>15.979611687753602</v>
      </c>
      <c r="F202" s="36">
        <f t="shared" si="117"/>
        <v>2.78125</v>
      </c>
      <c r="G202" s="36">
        <f t="shared" si="118"/>
        <v>2.703125</v>
      </c>
      <c r="H202" s="20">
        <f t="shared" si="80"/>
        <v>230.65598164550818</v>
      </c>
      <c r="I202" s="20">
        <f t="shared" si="81"/>
        <v>219.07014235157934</v>
      </c>
      <c r="J202" s="37">
        <f t="shared" si="82"/>
        <v>70.235207195265033</v>
      </c>
      <c r="K202" s="37">
        <f t="shared" si="83"/>
        <v>68.213088484154426</v>
      </c>
      <c r="L202" s="37">
        <f t="shared" si="84"/>
        <v>160.42077445024313</v>
      </c>
      <c r="M202" s="37">
        <f t="shared" si="85"/>
        <v>150.8570538674249</v>
      </c>
      <c r="N202" s="38">
        <f t="shared" si="86"/>
        <v>421.875</v>
      </c>
      <c r="O202" s="38">
        <f t="shared" si="87"/>
        <v>315.625</v>
      </c>
      <c r="P202" s="16">
        <f t="shared" si="88"/>
        <v>29.630478035502435</v>
      </c>
      <c r="Q202" s="16">
        <f t="shared" si="89"/>
        <v>50.632806935857985</v>
      </c>
      <c r="R202" s="18">
        <f t="shared" si="90"/>
        <v>-12.039492745704063</v>
      </c>
      <c r="S202" s="38">
        <f t="shared" si="91"/>
        <v>122.71875</v>
      </c>
      <c r="T202" s="38">
        <f t="shared" si="92"/>
        <v>265.625</v>
      </c>
      <c r="U202" s="16">
        <f t="shared" si="93"/>
        <v>8.3710249524148264</v>
      </c>
      <c r="V202" s="16">
        <f t="shared" si="94"/>
        <v>40.071404933534737</v>
      </c>
      <c r="W202" s="18">
        <f t="shared" si="95"/>
        <v>-7.2663644828924348</v>
      </c>
      <c r="X202" s="18">
        <f t="shared" si="96"/>
        <v>25.591890777327045</v>
      </c>
      <c r="Y202" s="18">
        <f t="shared" si="97"/>
        <v>18.171569392229248</v>
      </c>
      <c r="Z202" s="16">
        <f t="shared" si="113"/>
        <v>0.5</v>
      </c>
      <c r="AA202" s="18">
        <f t="shared" si="98"/>
        <v>-7.4999999999999997E-2</v>
      </c>
      <c r="AB202" s="18">
        <f t="shared" si="99"/>
        <v>0.1594246409579346</v>
      </c>
      <c r="AC202" s="18">
        <f t="shared" si="114"/>
        <v>7.0643839760516256</v>
      </c>
      <c r="AD202" s="18">
        <f t="shared" si="100"/>
        <v>-6.7521024405713476E-2</v>
      </c>
      <c r="AE202" s="18">
        <f t="shared" si="115"/>
        <v>-2.4067921783409751</v>
      </c>
      <c r="AF202" s="18">
        <f t="shared" si="101"/>
        <v>-1.6205045857371234E-2</v>
      </c>
      <c r="AG202" s="18">
        <f t="shared" si="119"/>
        <v>-0.57763012280183401</v>
      </c>
      <c r="AH202" s="19">
        <f t="shared" si="102"/>
        <v>1.4732246464929695</v>
      </c>
      <c r="AI202" s="19">
        <f t="shared" si="103"/>
        <v>8.7403664204790399</v>
      </c>
      <c r="AJ202" s="40">
        <f t="shared" si="104"/>
        <v>-16.698344745736279</v>
      </c>
      <c r="AK202" s="40">
        <f t="shared" si="105"/>
        <v>-9.4312029717502064</v>
      </c>
      <c r="AL202" s="40">
        <f t="shared" si="106"/>
        <v>23.18509859898607</v>
      </c>
      <c r="AM202" s="40">
        <f t="shared" si="107"/>
        <v>24.658323245479039</v>
      </c>
      <c r="AN202" s="40">
        <f t="shared" si="116"/>
        <v>15.917956824999999</v>
      </c>
      <c r="AO202" s="40">
        <f t="shared" si="108"/>
        <v>6.4867538532497919</v>
      </c>
      <c r="AP202" s="17">
        <f t="shared" si="109"/>
        <v>0.3188492819158692</v>
      </c>
    </row>
    <row r="203" spans="2:42" x14ac:dyDescent="0.2">
      <c r="B203" s="2">
        <v>27</v>
      </c>
      <c r="C203" s="2">
        <f t="shared" si="110"/>
        <v>2035</v>
      </c>
      <c r="D203" s="36">
        <f t="shared" si="111"/>
        <v>16.276572856528965</v>
      </c>
      <c r="E203" s="36">
        <f t="shared" si="112"/>
        <v>16.048915570876066</v>
      </c>
      <c r="F203" s="36">
        <f t="shared" si="117"/>
        <v>2.8125</v>
      </c>
      <c r="G203" s="36">
        <f t="shared" si="118"/>
        <v>2.7312500000000002</v>
      </c>
      <c r="H203" s="20">
        <f t="shared" si="80"/>
        <v>235.0254215434839</v>
      </c>
      <c r="I203" s="20">
        <f t="shared" si="81"/>
        <v>222.88187928907223</v>
      </c>
      <c r="J203" s="37">
        <f t="shared" si="82"/>
        <v>70.949356344070665</v>
      </c>
      <c r="K203" s="37">
        <f t="shared" si="83"/>
        <v>68.847372411702082</v>
      </c>
      <c r="L203" s="37">
        <f t="shared" si="84"/>
        <v>164.07606519941322</v>
      </c>
      <c r="M203" s="37">
        <f t="shared" si="85"/>
        <v>154.03450687737015</v>
      </c>
      <c r="N203" s="38">
        <f t="shared" si="86"/>
        <v>429.75</v>
      </c>
      <c r="O203" s="38">
        <f t="shared" si="87"/>
        <v>321.25</v>
      </c>
      <c r="P203" s="16">
        <f t="shared" si="88"/>
        <v>30.49048588886437</v>
      </c>
      <c r="Q203" s="16">
        <f t="shared" si="89"/>
        <v>52.709435945311498</v>
      </c>
      <c r="R203" s="18">
        <f t="shared" si="90"/>
        <v>-12.479988275126379</v>
      </c>
      <c r="S203" s="38">
        <f t="shared" si="91"/>
        <v>141.8175</v>
      </c>
      <c r="T203" s="38">
        <f t="shared" si="92"/>
        <v>321.25</v>
      </c>
      <c r="U203" s="16">
        <f t="shared" si="93"/>
        <v>9.7637622369965591</v>
      </c>
      <c r="V203" s="16">
        <f t="shared" si="94"/>
        <v>49.483585334355155</v>
      </c>
      <c r="W203" s="18">
        <f t="shared" si="95"/>
        <v>-8.8871021357027562</v>
      </c>
      <c r="X203" s="18">
        <f t="shared" si="96"/>
        <v>25.507918588734064</v>
      </c>
      <c r="Y203" s="18">
        <f t="shared" si="97"/>
        <v>21.369880349033274</v>
      </c>
      <c r="Z203" s="16">
        <f t="shared" si="113"/>
        <v>0.5</v>
      </c>
      <c r="AA203" s="18">
        <f t="shared" si="98"/>
        <v>-7.4999999999999997E-2</v>
      </c>
      <c r="AB203" s="18">
        <f t="shared" si="99"/>
        <v>0.15329292399801406</v>
      </c>
      <c r="AC203" s="18">
        <f t="shared" si="114"/>
        <v>7.2176769000496392</v>
      </c>
      <c r="AD203" s="18">
        <f t="shared" si="100"/>
        <v>-6.5789716087618272E-2</v>
      </c>
      <c r="AE203" s="18">
        <f t="shared" si="115"/>
        <v>-2.4725818944285933</v>
      </c>
      <c r="AF203" s="18">
        <f t="shared" si="101"/>
        <v>-1.5789531861028383E-2</v>
      </c>
      <c r="AG203" s="18">
        <f t="shared" si="119"/>
        <v>-0.59341965466286239</v>
      </c>
      <c r="AH203" s="19">
        <f t="shared" si="102"/>
        <v>4.9588009001145785</v>
      </c>
      <c r="AI203" s="19">
        <f t="shared" si="103"/>
        <v>12.07618076942005</v>
      </c>
      <c r="AJ203" s="40">
        <f t="shared" si="104"/>
        <v>-16.411079448918695</v>
      </c>
      <c r="AK203" s="40">
        <f t="shared" si="105"/>
        <v>-9.2936995796132216</v>
      </c>
      <c r="AL203" s="40">
        <f t="shared" si="106"/>
        <v>23.035336694305471</v>
      </c>
      <c r="AM203" s="40">
        <f t="shared" si="107"/>
        <v>27.994137594420049</v>
      </c>
      <c r="AN203" s="40">
        <f t="shared" si="116"/>
        <v>15.917956824999999</v>
      </c>
      <c r="AO203" s="40">
        <f t="shared" si="108"/>
        <v>6.6242572453867767</v>
      </c>
      <c r="AP203" s="17">
        <f t="shared" si="109"/>
        <v>0.30658584799602812</v>
      </c>
    </row>
    <row r="204" spans="2:42" x14ac:dyDescent="0.2">
      <c r="B204" s="2">
        <v>28</v>
      </c>
      <c r="C204" s="2">
        <f t="shared" si="110"/>
        <v>2036</v>
      </c>
      <c r="D204" s="36">
        <f t="shared" si="111"/>
        <v>16.352807127963676</v>
      </c>
      <c r="E204" s="36">
        <f t="shared" si="112"/>
        <v>16.117526415167305</v>
      </c>
      <c r="F204" s="36">
        <f t="shared" si="117"/>
        <v>2.84375</v>
      </c>
      <c r="G204" s="36">
        <f t="shared" si="118"/>
        <v>2.7593749999999999</v>
      </c>
      <c r="H204" s="20">
        <f t="shared" si="80"/>
        <v>239.41666952265732</v>
      </c>
      <c r="I204" s="20">
        <f t="shared" si="81"/>
        <v>226.70941401426273</v>
      </c>
      <c r="J204" s="37">
        <f t="shared" si="82"/>
        <v>71.659546216099372</v>
      </c>
      <c r="K204" s="37">
        <f t="shared" si="83"/>
        <v>69.477891093890278</v>
      </c>
      <c r="L204" s="37">
        <f t="shared" si="84"/>
        <v>167.75712330655796</v>
      </c>
      <c r="M204" s="37">
        <f t="shared" si="85"/>
        <v>157.23152292037247</v>
      </c>
      <c r="N204" s="38">
        <f t="shared" si="86"/>
        <v>437.625</v>
      </c>
      <c r="O204" s="38">
        <f t="shared" si="87"/>
        <v>326.875</v>
      </c>
      <c r="P204" s="16">
        <f t="shared" si="88"/>
        <v>31.360008912820486</v>
      </c>
      <c r="Q204" s="16">
        <f t="shared" si="89"/>
        <v>54.835609680831134</v>
      </c>
      <c r="R204" s="18">
        <f t="shared" si="90"/>
        <v>-12.929342789047743</v>
      </c>
      <c r="S204" s="38">
        <f t="shared" si="91"/>
        <v>144.41624999999999</v>
      </c>
      <c r="T204" s="38">
        <f t="shared" si="92"/>
        <v>326.875</v>
      </c>
      <c r="U204" s="16">
        <f t="shared" si="93"/>
        <v>10.033736489688032</v>
      </c>
      <c r="V204" s="16">
        <f t="shared" si="94"/>
        <v>51.395054054596756</v>
      </c>
      <c r="W204" s="18">
        <f t="shared" si="95"/>
        <v>-9.2143185816427184</v>
      </c>
      <c r="X204" s="18">
        <f t="shared" si="96"/>
        <v>25.409958480843162</v>
      </c>
      <c r="Y204" s="18">
        <f t="shared" si="97"/>
        <v>21.304522443880028</v>
      </c>
      <c r="Z204" s="16">
        <f t="shared" si="113"/>
        <v>0.5</v>
      </c>
      <c r="AA204" s="18">
        <f t="shared" si="98"/>
        <v>-7.4999999999999997E-2</v>
      </c>
      <c r="AB204" s="18">
        <f t="shared" si="99"/>
        <v>0.14739704230578274</v>
      </c>
      <c r="AC204" s="18">
        <f t="shared" si="114"/>
        <v>7.3650739423554219</v>
      </c>
      <c r="AD204" s="18">
        <f t="shared" si="100"/>
        <v>-6.4091702160255642E-2</v>
      </c>
      <c r="AE204" s="18">
        <f t="shared" si="115"/>
        <v>-2.5366735965888489</v>
      </c>
      <c r="AF204" s="18">
        <f t="shared" si="101"/>
        <v>-1.5382008518461355E-2</v>
      </c>
      <c r="AG204" s="18">
        <f t="shared" si="119"/>
        <v>-0.60880166318132378</v>
      </c>
      <c r="AH204" s="19">
        <f t="shared" si="102"/>
        <v>5.1875098387998122</v>
      </c>
      <c r="AI204" s="19">
        <f t="shared" si="103"/>
        <v>12.142837898054127</v>
      </c>
      <c r="AJ204" s="40">
        <f t="shared" si="104"/>
        <v>-16.117012605080216</v>
      </c>
      <c r="AK204" s="40">
        <f t="shared" si="105"/>
        <v>-9.1616845458259011</v>
      </c>
      <c r="AL204" s="40">
        <f t="shared" si="106"/>
        <v>22.873284884254314</v>
      </c>
      <c r="AM204" s="40">
        <f t="shared" si="107"/>
        <v>28.060794723054126</v>
      </c>
      <c r="AN204" s="40">
        <f t="shared" si="116"/>
        <v>15.917956824999999</v>
      </c>
      <c r="AO204" s="40">
        <f t="shared" si="108"/>
        <v>6.7562722791740981</v>
      </c>
      <c r="AP204" s="17">
        <f t="shared" si="109"/>
        <v>0.29479408461156548</v>
      </c>
    </row>
    <row r="205" spans="2:42" x14ac:dyDescent="0.2">
      <c r="B205" s="2">
        <v>29</v>
      </c>
      <c r="C205" s="2">
        <f t="shared" si="110"/>
        <v>2037</v>
      </c>
      <c r="D205" s="36">
        <f t="shared" si="111"/>
        <v>16.42827905668404</v>
      </c>
      <c r="E205" s="36">
        <f t="shared" si="112"/>
        <v>16.185451151015631</v>
      </c>
      <c r="F205" s="36">
        <f t="shared" si="117"/>
        <v>2.875</v>
      </c>
      <c r="G205" s="36">
        <f t="shared" si="118"/>
        <v>2.7875000000000001</v>
      </c>
      <c r="H205" s="20">
        <f t="shared" si="80"/>
        <v>243.82906696475081</v>
      </c>
      <c r="I205" s="20">
        <f t="shared" si="81"/>
        <v>230.55223020589006</v>
      </c>
      <c r="J205" s="37">
        <f t="shared" si="82"/>
        <v>72.365753078046197</v>
      </c>
      <c r="K205" s="37">
        <f t="shared" si="83"/>
        <v>70.104630889053681</v>
      </c>
      <c r="L205" s="37">
        <f t="shared" si="84"/>
        <v>171.46331388670461</v>
      </c>
      <c r="M205" s="37">
        <f t="shared" si="85"/>
        <v>160.44759931683637</v>
      </c>
      <c r="N205" s="38">
        <f t="shared" si="86"/>
        <v>445.5</v>
      </c>
      <c r="O205" s="38">
        <f t="shared" si="87"/>
        <v>332.5</v>
      </c>
      <c r="P205" s="16">
        <f t="shared" si="88"/>
        <v>32.238942996269579</v>
      </c>
      <c r="Q205" s="16">
        <f t="shared" si="89"/>
        <v>57.011551867329288</v>
      </c>
      <c r="R205" s="18">
        <f t="shared" si="90"/>
        <v>-13.387574229539831</v>
      </c>
      <c r="S205" s="38">
        <f t="shared" si="91"/>
        <v>147.01499999999999</v>
      </c>
      <c r="T205" s="38">
        <f t="shared" si="92"/>
        <v>332.5</v>
      </c>
      <c r="U205" s="16">
        <f t="shared" si="93"/>
        <v>10.306432310154225</v>
      </c>
      <c r="V205" s="16">
        <f t="shared" si="94"/>
        <v>53.348826772848099</v>
      </c>
      <c r="W205" s="18">
        <f t="shared" si="95"/>
        <v>-9.548288862450347</v>
      </c>
      <c r="X205" s="18">
        <f t="shared" si="96"/>
        <v>25.298574936965242</v>
      </c>
      <c r="Y205" s="18">
        <f t="shared" si="97"/>
        <v>21.227594832676136</v>
      </c>
      <c r="Z205" s="16">
        <f t="shared" si="113"/>
        <v>0.5</v>
      </c>
      <c r="AA205" s="18">
        <f t="shared" si="98"/>
        <v>-7.4999999999999997E-2</v>
      </c>
      <c r="AB205" s="18">
        <f t="shared" si="99"/>
        <v>0.14172792529402184</v>
      </c>
      <c r="AC205" s="18">
        <f t="shared" si="114"/>
        <v>7.5068018676494441</v>
      </c>
      <c r="AD205" s="18">
        <f t="shared" si="100"/>
        <v>-6.2426982623625608E-2</v>
      </c>
      <c r="AE205" s="18">
        <f t="shared" si="115"/>
        <v>-2.5991005792124744</v>
      </c>
      <c r="AF205" s="18">
        <f t="shared" si="101"/>
        <v>-1.4982475829670147E-2</v>
      </c>
      <c r="AG205" s="18">
        <f t="shared" si="119"/>
        <v>-0.62378413901099394</v>
      </c>
      <c r="AH205" s="19">
        <f t="shared" si="102"/>
        <v>5.4111382035618192</v>
      </c>
      <c r="AI205" s="19">
        <f t="shared" si="103"/>
        <v>12.192655736314586</v>
      </c>
      <c r="AJ205" s="40">
        <f t="shared" si="104"/>
        <v>-15.816456629114317</v>
      </c>
      <c r="AK205" s="40">
        <f t="shared" si="105"/>
        <v>-9.0349390963615495</v>
      </c>
      <c r="AL205" s="40">
        <f t="shared" si="106"/>
        <v>22.699474357752766</v>
      </c>
      <c r="AM205" s="40">
        <f t="shared" si="107"/>
        <v>28.110612561314586</v>
      </c>
      <c r="AN205" s="40">
        <f t="shared" si="116"/>
        <v>15.917956824999999</v>
      </c>
      <c r="AO205" s="40">
        <f t="shared" si="108"/>
        <v>6.8830177286384497</v>
      </c>
      <c r="AP205" s="17">
        <f t="shared" si="109"/>
        <v>0.28345585058804368</v>
      </c>
    </row>
    <row r="206" spans="2:42" x14ac:dyDescent="0.2">
      <c r="B206" s="2">
        <v>30</v>
      </c>
      <c r="C206" s="2">
        <f t="shared" si="110"/>
        <v>2038</v>
      </c>
      <c r="D206" s="36">
        <f t="shared" si="111"/>
        <v>16.502996266117201</v>
      </c>
      <c r="E206" s="36">
        <f t="shared" si="112"/>
        <v>16.252696639505473</v>
      </c>
      <c r="F206" s="36">
        <f t="shared" si="117"/>
        <v>2.90625</v>
      </c>
      <c r="G206" s="36">
        <f t="shared" si="118"/>
        <v>2.8156249999999998</v>
      </c>
      <c r="H206" s="20">
        <f t="shared" si="80"/>
        <v>248.26195811281397</v>
      </c>
      <c r="I206" s="20">
        <f t="shared" si="81"/>
        <v>234.4098145387162</v>
      </c>
      <c r="J206" s="37">
        <f t="shared" si="82"/>
        <v>73.067954694128005</v>
      </c>
      <c r="K206" s="37">
        <f t="shared" si="83"/>
        <v>70.727579312696562</v>
      </c>
      <c r="L206" s="37">
        <f t="shared" si="84"/>
        <v>175.19400341868595</v>
      </c>
      <c r="M206" s="37">
        <f t="shared" si="85"/>
        <v>163.68223522601966</v>
      </c>
      <c r="N206" s="38">
        <f t="shared" si="86"/>
        <v>453.375</v>
      </c>
      <c r="O206" s="38">
        <f t="shared" si="87"/>
        <v>338.125</v>
      </c>
      <c r="P206" s="16">
        <f t="shared" si="88"/>
        <v>33.127183959450285</v>
      </c>
      <c r="Q206" s="16">
        <f t="shared" si="89"/>
        <v>59.237472405943187</v>
      </c>
      <c r="R206" s="18">
        <f t="shared" si="90"/>
        <v>-13.85469845480902</v>
      </c>
      <c r="S206" s="38">
        <f t="shared" si="91"/>
        <v>149.61374999999998</v>
      </c>
      <c r="T206" s="38">
        <f t="shared" si="92"/>
        <v>338.125</v>
      </c>
      <c r="U206" s="16">
        <f t="shared" si="93"/>
        <v>10.581818369394954</v>
      </c>
      <c r="V206" s="16">
        <f t="shared" si="94"/>
        <v>55.345055785797896</v>
      </c>
      <c r="W206" s="18">
        <f t="shared" si="95"/>
        <v>-9.8890311232789276</v>
      </c>
      <c r="X206" s="18">
        <f t="shared" si="96"/>
        <v>25.174329071466314</v>
      </c>
      <c r="Y206" s="18">
        <f t="shared" si="97"/>
        <v>21.139545464107581</v>
      </c>
      <c r="Z206" s="16">
        <f t="shared" si="113"/>
        <v>0.5</v>
      </c>
      <c r="AA206" s="18">
        <f t="shared" si="98"/>
        <v>-7.4999999999999997E-2</v>
      </c>
      <c r="AB206" s="18">
        <f t="shared" si="99"/>
        <v>0.13627685124425176</v>
      </c>
      <c r="AC206" s="18">
        <f t="shared" si="114"/>
        <v>7.6430787188936957</v>
      </c>
      <c r="AD206" s="18">
        <f t="shared" si="100"/>
        <v>-6.0795508225670904E-2</v>
      </c>
      <c r="AE206" s="18">
        <f t="shared" si="115"/>
        <v>-2.6598960874381454</v>
      </c>
      <c r="AF206" s="18">
        <f t="shared" si="101"/>
        <v>-1.4590921974161014E-2</v>
      </c>
      <c r="AG206" s="18">
        <f t="shared" si="119"/>
        <v>-0.63837506098515495</v>
      </c>
      <c r="AH206" s="19">
        <f t="shared" si="102"/>
        <v>5.6298161379879517</v>
      </c>
      <c r="AI206" s="19">
        <f t="shared" si="103"/>
        <v>12.226292297016121</v>
      </c>
      <c r="AJ206" s="40">
        <f t="shared" si="104"/>
        <v>-15.509729326119627</v>
      </c>
      <c r="AK206" s="40">
        <f t="shared" si="105"/>
        <v>-8.9132531670914581</v>
      </c>
      <c r="AL206" s="40">
        <f t="shared" si="106"/>
        <v>22.514432984028169</v>
      </c>
      <c r="AM206" s="40">
        <f t="shared" si="107"/>
        <v>28.14424912201612</v>
      </c>
      <c r="AN206" s="40">
        <f t="shared" si="116"/>
        <v>15.917956824999999</v>
      </c>
      <c r="AO206" s="40">
        <f t="shared" si="108"/>
        <v>7.0047036579085411</v>
      </c>
      <c r="AP206" s="17">
        <f t="shared" si="109"/>
        <v>0.27255370248850352</v>
      </c>
    </row>
    <row r="207" spans="2:42" x14ac:dyDescent="0.2">
      <c r="B207" s="2">
        <v>31</v>
      </c>
      <c r="C207" s="2">
        <f t="shared" si="110"/>
        <v>2039</v>
      </c>
      <c r="D207" s="36">
        <f t="shared" si="111"/>
        <v>16.576966303456029</v>
      </c>
      <c r="E207" s="36">
        <f t="shared" si="112"/>
        <v>16.319269673110419</v>
      </c>
      <c r="F207" s="36">
        <f t="shared" si="117"/>
        <v>2.9375</v>
      </c>
      <c r="G207" s="36">
        <f t="shared" si="118"/>
        <v>2.84375</v>
      </c>
      <c r="H207" s="20">
        <f t="shared" si="80"/>
        <v>252.71469025264622</v>
      </c>
      <c r="I207" s="20">
        <f t="shared" si="81"/>
        <v>238.28165679559831</v>
      </c>
      <c r="J207" s="37">
        <f t="shared" si="82"/>
        <v>73.766130286030659</v>
      </c>
      <c r="K207" s="37">
        <f t="shared" si="83"/>
        <v>71.346725005608221</v>
      </c>
      <c r="L207" s="37">
        <f t="shared" si="84"/>
        <v>178.94855996661556</v>
      </c>
      <c r="M207" s="37">
        <f t="shared" si="85"/>
        <v>166.93493178999009</v>
      </c>
      <c r="N207" s="38">
        <f t="shared" si="86"/>
        <v>461.25</v>
      </c>
      <c r="O207" s="38">
        <f t="shared" si="87"/>
        <v>343.75</v>
      </c>
      <c r="P207" s="16">
        <f t="shared" si="88"/>
        <v>34.024627594431642</v>
      </c>
      <c r="Q207" s="16">
        <f t="shared" si="89"/>
        <v>61.513567488524103</v>
      </c>
      <c r="R207" s="18">
        <f t="shared" si="90"/>
        <v>-14.330729262443363</v>
      </c>
      <c r="S207" s="38">
        <f t="shared" si="91"/>
        <v>152.21249999999998</v>
      </c>
      <c r="T207" s="38">
        <f t="shared" si="92"/>
        <v>343.75</v>
      </c>
      <c r="U207" s="16">
        <f t="shared" si="93"/>
        <v>10.85986337991614</v>
      </c>
      <c r="V207" s="16">
        <f t="shared" si="94"/>
        <v>57.38388280280909</v>
      </c>
      <c r="W207" s="18">
        <f t="shared" si="95"/>
        <v>-10.236561927408784</v>
      </c>
      <c r="X207" s="18">
        <f t="shared" si="96"/>
        <v>25.037777691277441</v>
      </c>
      <c r="Y207" s="18">
        <f t="shared" si="97"/>
        <v>21.040820920574031</v>
      </c>
      <c r="Z207" s="16">
        <f t="shared" si="113"/>
        <v>0.5</v>
      </c>
      <c r="AA207" s="18">
        <f t="shared" si="98"/>
        <v>-7.4999999999999997E-2</v>
      </c>
      <c r="AB207" s="18">
        <f t="shared" si="99"/>
        <v>0.13103543388870362</v>
      </c>
      <c r="AC207" s="18">
        <f t="shared" si="114"/>
        <v>7.7741141527823991</v>
      </c>
      <c r="AD207" s="18">
        <f t="shared" si="100"/>
        <v>-5.9197184250896699E-2</v>
      </c>
      <c r="AE207" s="18">
        <f t="shared" si="115"/>
        <v>-2.7190932716890419</v>
      </c>
      <c r="AF207" s="18">
        <f t="shared" si="101"/>
        <v>-1.4207324220215208E-2</v>
      </c>
      <c r="AG207" s="18">
        <f t="shared" si="119"/>
        <v>-0.65258238520537015</v>
      </c>
      <c r="AH207" s="19">
        <f t="shared" si="102"/>
        <v>5.8436682685626593</v>
      </c>
      <c r="AI207" s="19">
        <f t="shared" si="103"/>
        <v>12.244395863151061</v>
      </c>
      <c r="AJ207" s="40">
        <f t="shared" si="104"/>
        <v>-15.197152652011372</v>
      </c>
      <c r="AK207" s="40">
        <f t="shared" si="105"/>
        <v>-8.7964250574229705</v>
      </c>
      <c r="AL207" s="40">
        <f t="shared" si="106"/>
        <v>22.318684419588401</v>
      </c>
      <c r="AM207" s="40">
        <f t="shared" si="107"/>
        <v>28.16235268815106</v>
      </c>
      <c r="AN207" s="40">
        <f t="shared" si="116"/>
        <v>15.917956824999999</v>
      </c>
      <c r="AO207" s="40">
        <f t="shared" si="108"/>
        <v>7.1215317675770287</v>
      </c>
      <c r="AP207" s="17">
        <f t="shared" si="109"/>
        <v>0.26207086777740729</v>
      </c>
    </row>
    <row r="208" spans="2:42" x14ac:dyDescent="0.2">
      <c r="B208" s="2">
        <v>32</v>
      </c>
      <c r="C208" s="2">
        <f t="shared" si="110"/>
        <v>2040</v>
      </c>
      <c r="D208" s="36">
        <f t="shared" si="111"/>
        <v>16.65019664042147</v>
      </c>
      <c r="E208" s="36">
        <f t="shared" si="112"/>
        <v>16.385176976379316</v>
      </c>
      <c r="F208" s="36">
        <f t="shared" si="117"/>
        <v>2.96875</v>
      </c>
      <c r="G208" s="36">
        <f t="shared" si="118"/>
        <v>2.8718750000000002</v>
      </c>
      <c r="H208" s="20">
        <f t="shared" si="80"/>
        <v>257.1866138858984</v>
      </c>
      <c r="I208" s="20">
        <f t="shared" si="81"/>
        <v>242.16724997393797</v>
      </c>
      <c r="J208" s="37">
        <f t="shared" si="82"/>
        <v>74.460260493755555</v>
      </c>
      <c r="K208" s="37">
        <f t="shared" si="83"/>
        <v>71.962057702701117</v>
      </c>
      <c r="L208" s="37">
        <f t="shared" si="84"/>
        <v>182.72635339214284</v>
      </c>
      <c r="M208" s="37">
        <f t="shared" si="85"/>
        <v>170.20519227123685</v>
      </c>
      <c r="N208" s="38">
        <f t="shared" si="86"/>
        <v>469.125</v>
      </c>
      <c r="O208" s="38">
        <f t="shared" si="87"/>
        <v>349.375</v>
      </c>
      <c r="P208" s="16">
        <f t="shared" si="88"/>
        <v>34.931169704133076</v>
      </c>
      <c r="Q208" s="16">
        <f t="shared" si="89"/>
        <v>63.840019716379906</v>
      </c>
      <c r="R208" s="18">
        <f t="shared" si="90"/>
        <v>-14.815678413076947</v>
      </c>
      <c r="S208" s="38">
        <f t="shared" si="91"/>
        <v>154.81125</v>
      </c>
      <c r="T208" s="38">
        <f t="shared" si="92"/>
        <v>349.375</v>
      </c>
      <c r="U208" s="16">
        <f t="shared" si="93"/>
        <v>11.140536105527289</v>
      </c>
      <c r="V208" s="16">
        <f t="shared" si="94"/>
        <v>59.465439049763376</v>
      </c>
      <c r="W208" s="18">
        <f t="shared" si="95"/>
        <v>-10.5908962732936</v>
      </c>
      <c r="X208" s="18">
        <f t="shared" si="96"/>
        <v>24.889472425808176</v>
      </c>
      <c r="Y208" s="18">
        <f t="shared" si="97"/>
        <v>20.931865587349641</v>
      </c>
      <c r="Z208" s="16">
        <f t="shared" si="113"/>
        <v>0.5</v>
      </c>
      <c r="AA208" s="18">
        <f t="shared" si="98"/>
        <v>-7.4999999999999997E-2</v>
      </c>
      <c r="AB208" s="18">
        <f t="shared" si="99"/>
        <v>0.12599560950836888</v>
      </c>
      <c r="AC208" s="18">
        <f t="shared" si="114"/>
        <v>7.9001097622907679</v>
      </c>
      <c r="AD208" s="18">
        <f t="shared" si="100"/>
        <v>-5.763187409041625E-2</v>
      </c>
      <c r="AE208" s="18">
        <f t="shared" si="115"/>
        <v>-2.7767251457794582</v>
      </c>
      <c r="AF208" s="18">
        <f t="shared" si="101"/>
        <v>-1.3831649781699899E-2</v>
      </c>
      <c r="AG208" s="18">
        <f t="shared" si="119"/>
        <v>-0.66641403498707008</v>
      </c>
      <c r="AH208" s="19">
        <f t="shared" si="102"/>
        <v>6.0528140346246211</v>
      </c>
      <c r="AI208" s="19">
        <f t="shared" si="103"/>
        <v>12.247604489653339</v>
      </c>
      <c r="AJ208" s="40">
        <f t="shared" si="104"/>
        <v>-14.87905155272502</v>
      </c>
      <c r="AK208" s="40">
        <f t="shared" si="105"/>
        <v>-8.6842610976963002</v>
      </c>
      <c r="AL208" s="40">
        <f t="shared" si="106"/>
        <v>22.112747280028717</v>
      </c>
      <c r="AM208" s="40">
        <f t="shared" si="107"/>
        <v>28.165561314653338</v>
      </c>
      <c r="AN208" s="40">
        <f t="shared" si="116"/>
        <v>15.917956824999999</v>
      </c>
      <c r="AO208" s="40">
        <f t="shared" si="108"/>
        <v>7.2336957273036981</v>
      </c>
      <c r="AP208" s="17">
        <f t="shared" si="109"/>
        <v>0.25199121901673771</v>
      </c>
    </row>
    <row r="209" spans="1:152" x14ac:dyDescent="0.2">
      <c r="B209" s="2">
        <v>33</v>
      </c>
      <c r="C209" s="2">
        <f t="shared" si="110"/>
        <v>2041</v>
      </c>
      <c r="D209" s="36">
        <f t="shared" si="111"/>
        <v>16.722694674017255</v>
      </c>
      <c r="E209" s="36">
        <f t="shared" si="112"/>
        <v>16.450425206615524</v>
      </c>
      <c r="F209" s="36">
        <f t="shared" si="117"/>
        <v>3</v>
      </c>
      <c r="G209" s="36">
        <f t="shared" si="118"/>
        <v>2.9</v>
      </c>
      <c r="H209" s="20">
        <f t="shared" si="80"/>
        <v>261.67708289510716</v>
      </c>
      <c r="I209" s="20">
        <f t="shared" si="81"/>
        <v>246.06609038668861</v>
      </c>
      <c r="J209" s="37">
        <f t="shared" si="82"/>
        <v>75.150327337346724</v>
      </c>
      <c r="K209" s="37">
        <f t="shared" si="83"/>
        <v>72.573568202557411</v>
      </c>
      <c r="L209" s="37">
        <f t="shared" si="84"/>
        <v>186.52675555776045</v>
      </c>
      <c r="M209" s="37">
        <f t="shared" si="85"/>
        <v>173.49252218413119</v>
      </c>
      <c r="N209" s="38">
        <f t="shared" si="86"/>
        <v>477</v>
      </c>
      <c r="O209" s="38">
        <f t="shared" si="87"/>
        <v>355</v>
      </c>
      <c r="P209" s="16">
        <f t="shared" si="88"/>
        <v>35.846706139914389</v>
      </c>
      <c r="Q209" s="16">
        <f t="shared" si="89"/>
        <v>66.216998223004964</v>
      </c>
      <c r="R209" s="18">
        <f t="shared" si="90"/>
        <v>-15.309555654437903</v>
      </c>
      <c r="S209" s="38">
        <f t="shared" si="91"/>
        <v>157.41</v>
      </c>
      <c r="T209" s="38">
        <f t="shared" si="92"/>
        <v>355</v>
      </c>
      <c r="U209" s="16">
        <f t="shared" si="93"/>
        <v>11.423805370764562</v>
      </c>
      <c r="V209" s="16">
        <f t="shared" si="94"/>
        <v>61.589845375366572</v>
      </c>
      <c r="W209" s="18">
        <f t="shared" si="95"/>
        <v>-10.952047611919669</v>
      </c>
      <c r="X209" s="18">
        <f t="shared" si="96"/>
        <v>24.72995892286152</v>
      </c>
      <c r="Y209" s="18">
        <f t="shared" si="97"/>
        <v>20.813120878257834</v>
      </c>
      <c r="Z209" s="16">
        <f t="shared" si="113"/>
        <v>0.5</v>
      </c>
      <c r="AA209" s="18">
        <f t="shared" si="98"/>
        <v>-7.4999999999999997E-2</v>
      </c>
      <c r="AB209" s="18">
        <f t="shared" si="99"/>
        <v>0.12114962452727775</v>
      </c>
      <c r="AC209" s="18">
        <f t="shared" si="114"/>
        <v>8.0212593868180448</v>
      </c>
      <c r="AD209" s="18">
        <f t="shared" si="100"/>
        <v>-5.6099402604631199E-2</v>
      </c>
      <c r="AE209" s="18">
        <f t="shared" si="115"/>
        <v>-2.8328245483840893</v>
      </c>
      <c r="AF209" s="18">
        <f t="shared" si="101"/>
        <v>-1.3463856625111488E-2</v>
      </c>
      <c r="AG209" s="18">
        <f t="shared" si="119"/>
        <v>-0.6798778916121816</v>
      </c>
      <c r="AH209" s="19">
        <f t="shared" si="102"/>
        <v>6.2573679989862647</v>
      </c>
      <c r="AI209" s="19">
        <f t="shared" si="103"/>
        <v>12.236545548463697</v>
      </c>
      <c r="AJ209" s="40">
        <f t="shared" si="104"/>
        <v>-14.555752879271569</v>
      </c>
      <c r="AK209" s="40">
        <f t="shared" si="105"/>
        <v>-8.5765753297941352</v>
      </c>
      <c r="AL209" s="40">
        <f t="shared" si="106"/>
        <v>21.897134374477432</v>
      </c>
      <c r="AM209" s="40">
        <f t="shared" si="107"/>
        <v>28.154502373463696</v>
      </c>
      <c r="AN209" s="40">
        <f t="shared" si="116"/>
        <v>15.917956824999999</v>
      </c>
      <c r="AO209" s="40">
        <f t="shared" si="108"/>
        <v>7.3413814952058631</v>
      </c>
      <c r="AP209" s="17">
        <f t="shared" si="109"/>
        <v>0.24229924905455552</v>
      </c>
    </row>
    <row r="210" spans="1:152" x14ac:dyDescent="0.2">
      <c r="B210" s="2">
        <v>34</v>
      </c>
      <c r="C210" s="2">
        <f t="shared" si="110"/>
        <v>2042</v>
      </c>
      <c r="D210" s="36">
        <f t="shared" si="111"/>
        <v>16.794467727277084</v>
      </c>
      <c r="E210" s="36">
        <f t="shared" si="112"/>
        <v>16.515020954549367</v>
      </c>
      <c r="F210" s="36">
        <f t="shared" si="117"/>
        <v>3.03125</v>
      </c>
      <c r="G210" s="36">
        <f t="shared" si="118"/>
        <v>2.9281250000000001</v>
      </c>
      <c r="H210" s="20">
        <f t="shared" si="80"/>
        <v>266.18545470091362</v>
      </c>
      <c r="I210" s="20">
        <f t="shared" si="81"/>
        <v>249.97767775808848</v>
      </c>
      <c r="J210" s="37">
        <f t="shared" si="82"/>
        <v>75.836314179480539</v>
      </c>
      <c r="K210" s="37">
        <f t="shared" si="83"/>
        <v>73.181248337667697</v>
      </c>
      <c r="L210" s="37">
        <f t="shared" si="84"/>
        <v>190.34914052143307</v>
      </c>
      <c r="M210" s="37">
        <f t="shared" si="85"/>
        <v>176.79642942042079</v>
      </c>
      <c r="N210" s="38">
        <f t="shared" si="86"/>
        <v>484.875</v>
      </c>
      <c r="O210" s="38">
        <f t="shared" si="87"/>
        <v>360.625</v>
      </c>
      <c r="P210" s="16">
        <f t="shared" si="88"/>
        <v>36.771132837775625</v>
      </c>
      <c r="Q210" s="16">
        <f t="shared" si="89"/>
        <v>68.644658800541791</v>
      </c>
      <c r="R210" s="18">
        <f t="shared" si="90"/>
        <v>-15.812368745747612</v>
      </c>
      <c r="S210" s="38">
        <f t="shared" si="91"/>
        <v>160.00874999999999</v>
      </c>
      <c r="T210" s="38">
        <f t="shared" si="92"/>
        <v>360.625</v>
      </c>
      <c r="U210" s="16">
        <f t="shared" si="93"/>
        <v>11.709640069949787</v>
      </c>
      <c r="V210" s="16">
        <f t="shared" si="94"/>
        <v>63.757212359739242</v>
      </c>
      <c r="W210" s="18">
        <f t="shared" si="95"/>
        <v>-11.320027864453353</v>
      </c>
      <c r="X210" s="18">
        <f t="shared" si="96"/>
        <v>24.559776108130578</v>
      </c>
      <c r="Y210" s="18">
        <f t="shared" si="97"/>
        <v>20.685024516091186</v>
      </c>
      <c r="Z210" s="16">
        <f t="shared" si="113"/>
        <v>0.5</v>
      </c>
      <c r="AA210" s="18">
        <f t="shared" si="98"/>
        <v>-7.4999999999999997E-2</v>
      </c>
      <c r="AB210" s="18">
        <f t="shared" si="99"/>
        <v>0.11649002358392091</v>
      </c>
      <c r="AC210" s="18">
        <f t="shared" si="114"/>
        <v>8.1377494104019661</v>
      </c>
      <c r="AD210" s="18">
        <f t="shared" si="100"/>
        <v>-5.459955928921658E-2</v>
      </c>
      <c r="AE210" s="18">
        <f t="shared" si="115"/>
        <v>-2.887424107673306</v>
      </c>
      <c r="AF210" s="18">
        <f t="shared" si="101"/>
        <v>-1.3103894229411977E-2</v>
      </c>
      <c r="AG210" s="18">
        <f t="shared" si="119"/>
        <v>-0.69298178584159353</v>
      </c>
      <c r="AH210" s="19">
        <f t="shared" si="102"/>
        <v>6.4574401401942865</v>
      </c>
      <c r="AI210" s="19">
        <f t="shared" si="103"/>
        <v>12.211835315651561</v>
      </c>
      <c r="AJ210" s="40">
        <f t="shared" si="104"/>
        <v>-14.2275843758969</v>
      </c>
      <c r="AK210" s="40">
        <f t="shared" si="105"/>
        <v>-8.4731892004396272</v>
      </c>
      <c r="AL210" s="40">
        <f t="shared" si="106"/>
        <v>21.672352000457273</v>
      </c>
      <c r="AM210" s="40">
        <f t="shared" si="107"/>
        <v>28.12979214065156</v>
      </c>
      <c r="AN210" s="40">
        <f t="shared" si="116"/>
        <v>15.917956824999999</v>
      </c>
      <c r="AO210" s="40">
        <f t="shared" si="108"/>
        <v>7.4447676245603729</v>
      </c>
      <c r="AP210" s="17">
        <f t="shared" si="109"/>
        <v>0.23298004716784182</v>
      </c>
    </row>
    <row r="211" spans="1:152" x14ac:dyDescent="0.2">
      <c r="B211" s="2">
        <v>35</v>
      </c>
      <c r="C211" s="2">
        <f t="shared" si="110"/>
        <v>2043</v>
      </c>
      <c r="D211" s="36">
        <f t="shared" si="111"/>
        <v>16.865523050004313</v>
      </c>
      <c r="E211" s="36">
        <f t="shared" si="112"/>
        <v>16.578970745003872</v>
      </c>
      <c r="F211" s="36">
        <f t="shared" si="117"/>
        <v>3.0625</v>
      </c>
      <c r="G211" s="36">
        <f t="shared" si="118"/>
        <v>2.9562499999999998</v>
      </c>
      <c r="H211" s="20">
        <f t="shared" si="80"/>
        <v>270.71109041170251</v>
      </c>
      <c r="I211" s="20">
        <f t="shared" si="81"/>
        <v>253.9015153142862</v>
      </c>
      <c r="J211" s="37">
        <f t="shared" si="82"/>
        <v>76.518205688898618</v>
      </c>
      <c r="K211" s="37">
        <f t="shared" si="83"/>
        <v>73.785090945348429</v>
      </c>
      <c r="L211" s="37">
        <f t="shared" si="84"/>
        <v>194.19288472280391</v>
      </c>
      <c r="M211" s="37">
        <f t="shared" si="85"/>
        <v>180.11642436893777</v>
      </c>
      <c r="N211" s="38">
        <f t="shared" si="86"/>
        <v>492.75</v>
      </c>
      <c r="O211" s="38">
        <f t="shared" si="87"/>
        <v>366.25</v>
      </c>
      <c r="P211" s="16">
        <f t="shared" si="88"/>
        <v>37.704345853204799</v>
      </c>
      <c r="Q211" s="16">
        <f t="shared" si="89"/>
        <v>71.12314402972693</v>
      </c>
      <c r="R211" s="18">
        <f t="shared" si="90"/>
        <v>-16.324123482439759</v>
      </c>
      <c r="S211" s="38">
        <f t="shared" si="91"/>
        <v>162.60750000000002</v>
      </c>
      <c r="T211" s="38">
        <f t="shared" si="92"/>
        <v>366.25</v>
      </c>
      <c r="U211" s="16">
        <f t="shared" si="93"/>
        <v>11.998009175895746</v>
      </c>
      <c r="V211" s="16">
        <f t="shared" si="94"/>
        <v>65.967640425123463</v>
      </c>
      <c r="W211" s="18">
        <f t="shared" si="95"/>
        <v>-11.694847440152881</v>
      </c>
      <c r="X211" s="18">
        <f t="shared" si="96"/>
        <v>24.37945550584929</v>
      </c>
      <c r="Y211" s="18">
        <f t="shared" si="97"/>
        <v>20.548009865969323</v>
      </c>
      <c r="Z211" s="16">
        <f t="shared" si="113"/>
        <v>0.5</v>
      </c>
      <c r="AA211" s="18">
        <f t="shared" si="98"/>
        <v>-7.4999999999999997E-2</v>
      </c>
      <c r="AB211" s="18">
        <f t="shared" si="99"/>
        <v>0.1120096380614624</v>
      </c>
      <c r="AC211" s="18">
        <f t="shared" si="114"/>
        <v>8.249759048463428</v>
      </c>
      <c r="AD211" s="18">
        <f t="shared" si="100"/>
        <v>-5.313210125456664E-2</v>
      </c>
      <c r="AE211" s="18">
        <f t="shared" si="115"/>
        <v>-2.9405562089278727</v>
      </c>
      <c r="AF211" s="18">
        <f t="shared" si="101"/>
        <v>-1.2751704301095993E-2</v>
      </c>
      <c r="AG211" s="18">
        <f t="shared" si="119"/>
        <v>-0.70573349014268949</v>
      </c>
      <c r="AH211" s="19">
        <f t="shared" si="102"/>
        <v>6.6531361273686436</v>
      </c>
      <c r="AI211" s="19">
        <f t="shared" si="103"/>
        <v>12.174078599290061</v>
      </c>
      <c r="AJ211" s="40">
        <f t="shared" si="104"/>
        <v>-13.894873738600678</v>
      </c>
      <c r="AK211" s="40">
        <f t="shared" si="105"/>
        <v>-8.3739312666792607</v>
      </c>
      <c r="AL211" s="40">
        <f t="shared" si="106"/>
        <v>21.438899296921416</v>
      </c>
      <c r="AM211" s="40">
        <f t="shared" si="107"/>
        <v>28.09203542429006</v>
      </c>
      <c r="AN211" s="40">
        <f t="shared" si="116"/>
        <v>15.917956824999999</v>
      </c>
      <c r="AO211" s="40">
        <f t="shared" si="108"/>
        <v>7.5440255583207385</v>
      </c>
      <c r="AP211" s="17">
        <f t="shared" si="109"/>
        <v>0.22401927612292483</v>
      </c>
    </row>
    <row r="212" spans="1:152" x14ac:dyDescent="0.2">
      <c r="B212" s="2">
        <v>36</v>
      </c>
      <c r="C212" s="2">
        <f t="shared" si="110"/>
        <v>2044</v>
      </c>
      <c r="D212" s="36">
        <f t="shared" si="111"/>
        <v>16.935867819504271</v>
      </c>
      <c r="E212" s="36">
        <f t="shared" si="112"/>
        <v>16.642281037553833</v>
      </c>
      <c r="F212" s="36">
        <f t="shared" si="117"/>
        <v>3.09375</v>
      </c>
      <c r="G212" s="36">
        <f t="shared" si="118"/>
        <v>2.984375</v>
      </c>
      <c r="H212" s="20">
        <f t="shared" si="80"/>
        <v>275.25335496590236</v>
      </c>
      <c r="I212" s="20">
        <f t="shared" si="81"/>
        <v>257.83710986902395</v>
      </c>
      <c r="J212" s="37">
        <f t="shared" si="82"/>
        <v>77.195987804667624</v>
      </c>
      <c r="K212" s="37">
        <f t="shared" si="83"/>
        <v>74.385089839322902</v>
      </c>
      <c r="L212" s="37">
        <f t="shared" si="84"/>
        <v>198.05736716123474</v>
      </c>
      <c r="M212" s="37">
        <f t="shared" si="85"/>
        <v>183.45202002970103</v>
      </c>
      <c r="N212" s="38">
        <f t="shared" si="86"/>
        <v>500.625</v>
      </c>
      <c r="O212" s="38">
        <f t="shared" si="87"/>
        <v>371.875</v>
      </c>
      <c r="P212" s="16">
        <f t="shared" si="88"/>
        <v>38.64624139471173</v>
      </c>
      <c r="Q212" s="16">
        <f t="shared" si="89"/>
        <v>73.652583413084173</v>
      </c>
      <c r="R212" s="18">
        <f t="shared" si="90"/>
        <v>-16.844823721169387</v>
      </c>
      <c r="S212" s="38">
        <f t="shared" si="91"/>
        <v>165.20625000000001</v>
      </c>
      <c r="T212" s="38">
        <f t="shared" si="92"/>
        <v>371.875</v>
      </c>
      <c r="U212" s="16">
        <f t="shared" si="93"/>
        <v>12.28888174826764</v>
      </c>
      <c r="V212" s="16">
        <f t="shared" si="94"/>
        <v>68.22121994854507</v>
      </c>
      <c r="W212" s="18">
        <f t="shared" si="95"/>
        <v>-12.076515254521906</v>
      </c>
      <c r="X212" s="18">
        <f t="shared" si="96"/>
        <v>24.189520618170757</v>
      </c>
      <c r="Y212" s="18">
        <f t="shared" si="97"/>
        <v>20.402505319799822</v>
      </c>
      <c r="Z212" s="16">
        <f t="shared" si="113"/>
        <v>0.5</v>
      </c>
      <c r="AA212" s="18">
        <f t="shared" si="98"/>
        <v>-7.4999999999999997E-2</v>
      </c>
      <c r="AB212" s="18">
        <f t="shared" si="99"/>
        <v>0.10770157505909846</v>
      </c>
      <c r="AC212" s="18">
        <f t="shared" si="114"/>
        <v>8.3574606235225257</v>
      </c>
      <c r="AD212" s="18">
        <f t="shared" si="100"/>
        <v>-5.1696756028367263E-2</v>
      </c>
      <c r="AE212" s="18">
        <f t="shared" si="115"/>
        <v>-2.9922529649562399</v>
      </c>
      <c r="AF212" s="18">
        <f t="shared" si="101"/>
        <v>-1.240722144680814E-2</v>
      </c>
      <c r="AG212" s="18">
        <f t="shared" si="119"/>
        <v>-0.71814071158949766</v>
      </c>
      <c r="AH212" s="19">
        <f t="shared" si="102"/>
        <v>6.8445575785183337</v>
      </c>
      <c r="AI212" s="19">
        <f t="shared" si="103"/>
        <v>12.123868406732852</v>
      </c>
      <c r="AJ212" s="40">
        <f t="shared" si="104"/>
        <v>-13.557947741281488</v>
      </c>
      <c r="AK212" s="40">
        <f t="shared" si="105"/>
        <v>-8.2786369130669719</v>
      </c>
      <c r="AL212" s="40">
        <f t="shared" si="106"/>
        <v>21.197267653214517</v>
      </c>
      <c r="AM212" s="40">
        <f t="shared" si="107"/>
        <v>28.041825231732851</v>
      </c>
      <c r="AN212" s="40">
        <f t="shared" si="116"/>
        <v>15.917956824999999</v>
      </c>
      <c r="AO212" s="40">
        <f t="shared" si="108"/>
        <v>7.6393199119330282</v>
      </c>
      <c r="AP212" s="17">
        <f t="shared" si="109"/>
        <v>0.21540315011819691</v>
      </c>
    </row>
    <row r="213" spans="1:152" x14ac:dyDescent="0.2">
      <c r="B213" s="2">
        <v>37</v>
      </c>
      <c r="C213" s="2">
        <f t="shared" si="110"/>
        <v>2045</v>
      </c>
      <c r="D213" s="36">
        <f t="shared" si="111"/>
        <v>17.005509141309229</v>
      </c>
      <c r="E213" s="36">
        <f t="shared" si="112"/>
        <v>16.704958227178295</v>
      </c>
      <c r="F213" s="36">
        <f t="shared" si="117"/>
        <v>3.125</v>
      </c>
      <c r="G213" s="36">
        <f t="shared" si="118"/>
        <v>3.0125000000000002</v>
      </c>
      <c r="H213" s="20">
        <f t="shared" si="80"/>
        <v>279.81161726717255</v>
      </c>
      <c r="I213" s="20">
        <f t="shared" si="81"/>
        <v>261.78397190453086</v>
      </c>
      <c r="J213" s="37">
        <f t="shared" si="82"/>
        <v>77.86964770124726</v>
      </c>
      <c r="K213" s="37">
        <f t="shared" si="83"/>
        <v>74.981239781951984</v>
      </c>
      <c r="L213" s="37">
        <f t="shared" si="84"/>
        <v>201.94196956592529</v>
      </c>
      <c r="M213" s="37">
        <f t="shared" si="85"/>
        <v>186.80273212257887</v>
      </c>
      <c r="N213" s="38">
        <f t="shared" si="86"/>
        <v>508.5</v>
      </c>
      <c r="O213" s="38">
        <f t="shared" si="87"/>
        <v>377.5</v>
      </c>
      <c r="P213" s="16">
        <f t="shared" si="88"/>
        <v>39.596715856084231</v>
      </c>
      <c r="Q213" s="16">
        <f t="shared" si="89"/>
        <v>76.233093511136801</v>
      </c>
      <c r="R213" s="18">
        <f t="shared" si="90"/>
        <v>-17.374471405083153</v>
      </c>
      <c r="S213" s="38">
        <f t="shared" si="91"/>
        <v>167.80500000000001</v>
      </c>
      <c r="T213" s="38">
        <f t="shared" si="92"/>
        <v>377.5</v>
      </c>
      <c r="U213" s="16">
        <f t="shared" si="93"/>
        <v>12.582226941610454</v>
      </c>
      <c r="V213" s="16">
        <f t="shared" si="94"/>
        <v>70.518031376273527</v>
      </c>
      <c r="W213" s="18">
        <f t="shared" si="95"/>
        <v>-12.465038747682597</v>
      </c>
      <c r="X213" s="18">
        <f t="shared" si="96"/>
        <v>23.990486360855428</v>
      </c>
      <c r="Y213" s="18">
        <f t="shared" si="97"/>
        <v>20.248933729986547</v>
      </c>
      <c r="Z213" s="16">
        <f t="shared" si="113"/>
        <v>0.5</v>
      </c>
      <c r="AA213" s="18">
        <f t="shared" si="98"/>
        <v>-7.4999999999999997E-2</v>
      </c>
      <c r="AB213" s="18">
        <f t="shared" si="99"/>
        <v>0.10355920678759468</v>
      </c>
      <c r="AC213" s="18">
        <f t="shared" si="114"/>
        <v>8.4610198303101196</v>
      </c>
      <c r="AD213" s="18">
        <f t="shared" si="100"/>
        <v>-5.0293224190493035E-2</v>
      </c>
      <c r="AE213" s="18">
        <f t="shared" si="115"/>
        <v>-3.0425461891467331</v>
      </c>
      <c r="AF213" s="18">
        <f t="shared" si="101"/>
        <v>-1.2070373805718329E-2</v>
      </c>
      <c r="AG213" s="18">
        <f t="shared" si="119"/>
        <v>-0.73021108539521595</v>
      </c>
      <c r="AH213" s="19">
        <f t="shared" si="102"/>
        <v>7.0318023031927588</v>
      </c>
      <c r="AI213" s="19">
        <f t="shared" si="103"/>
        <v>12.061785649901454</v>
      </c>
      <c r="AJ213" s="40">
        <f t="shared" si="104"/>
        <v>-13.217131426793792</v>
      </c>
      <c r="AK213" s="40">
        <f t="shared" si="105"/>
        <v>-8.1871480800850946</v>
      </c>
      <c r="AL213" s="40">
        <f t="shared" si="106"/>
        <v>20.947940171708694</v>
      </c>
      <c r="AM213" s="40">
        <f t="shared" si="107"/>
        <v>27.979742474901453</v>
      </c>
      <c r="AN213" s="40">
        <f t="shared" si="116"/>
        <v>15.917956824999999</v>
      </c>
      <c r="AO213" s="40">
        <f t="shared" si="108"/>
        <v>7.7308087449149037</v>
      </c>
      <c r="AP213" s="17">
        <f t="shared" si="109"/>
        <v>0.20711841357518937</v>
      </c>
    </row>
    <row r="214" spans="1:152" x14ac:dyDescent="0.2">
      <c r="B214" s="2">
        <v>38</v>
      </c>
      <c r="C214" s="2">
        <f t="shared" si="110"/>
        <v>2046</v>
      </c>
      <c r="D214" s="36">
        <f t="shared" si="111"/>
        <v>17.074454049896136</v>
      </c>
      <c r="E214" s="36">
        <f t="shared" si="112"/>
        <v>16.767008644906511</v>
      </c>
      <c r="F214" s="36">
        <f t="shared" si="117"/>
        <v>3.15625</v>
      </c>
      <c r="G214" s="36">
        <f t="shared" si="118"/>
        <v>3.0406250000000004</v>
      </c>
      <c r="H214" s="20">
        <f t="shared" si="80"/>
        <v>284.38525031270018</v>
      </c>
      <c r="I214" s="20">
        <f t="shared" si="81"/>
        <v>265.74161564778507</v>
      </c>
      <c r="J214" s="37">
        <f t="shared" si="82"/>
        <v>78.539173754350244</v>
      </c>
      <c r="K214" s="37">
        <f t="shared" si="83"/>
        <v>75.573536457100985</v>
      </c>
      <c r="L214" s="37">
        <f t="shared" si="84"/>
        <v>205.84607655834992</v>
      </c>
      <c r="M214" s="37">
        <f t="shared" si="85"/>
        <v>190.16807919068407</v>
      </c>
      <c r="N214" s="38">
        <f t="shared" si="86"/>
        <v>516.375</v>
      </c>
      <c r="O214" s="38">
        <f t="shared" si="87"/>
        <v>383.125</v>
      </c>
      <c r="P214" s="16">
        <f t="shared" si="88"/>
        <v>40.555665847402608</v>
      </c>
      <c r="Q214" s="16">
        <f t="shared" si="89"/>
        <v>78.864778081417811</v>
      </c>
      <c r="R214" s="18">
        <f t="shared" si="90"/>
        <v>-17.913066589323062</v>
      </c>
      <c r="S214" s="38">
        <f t="shared" si="91"/>
        <v>170.40375</v>
      </c>
      <c r="T214" s="38">
        <f t="shared" si="92"/>
        <v>383.125</v>
      </c>
      <c r="U214" s="16">
        <f t="shared" si="93"/>
        <v>12.878014013051722</v>
      </c>
      <c r="V214" s="16">
        <f t="shared" si="94"/>
        <v>72.858145339930829</v>
      </c>
      <c r="W214" s="18">
        <f t="shared" si="95"/>
        <v>-12.860423902947383</v>
      </c>
      <c r="X214" s="18">
        <f t="shared" si="96"/>
        <v>23.782858552867435</v>
      </c>
      <c r="Y214" s="18">
        <f t="shared" si="97"/>
        <v>20.087711890519657</v>
      </c>
      <c r="Z214" s="16">
        <f t="shared" si="113"/>
        <v>0.5</v>
      </c>
      <c r="AA214" s="18">
        <f t="shared" si="98"/>
        <v>-7.4999999999999997E-2</v>
      </c>
      <c r="AB214" s="18">
        <f t="shared" si="99"/>
        <v>9.957616037268717E-2</v>
      </c>
      <c r="AC214" s="18">
        <f t="shared" si="114"/>
        <v>8.5605959906828062</v>
      </c>
      <c r="AD214" s="18">
        <f t="shared" si="100"/>
        <v>-4.8921181848981365E-2</v>
      </c>
      <c r="AE214" s="18">
        <f t="shared" si="115"/>
        <v>-3.0914673709957143</v>
      </c>
      <c r="AF214" s="18">
        <f t="shared" si="101"/>
        <v>-1.1741083643755526E-2</v>
      </c>
      <c r="AG214" s="18">
        <f t="shared" si="119"/>
        <v>-0.74195216903897143</v>
      </c>
      <c r="AH214" s="19">
        <f t="shared" si="102"/>
        <v>7.2149645302917733</v>
      </c>
      <c r="AI214" s="19">
        <f t="shared" si="103"/>
        <v>11.988398887163493</v>
      </c>
      <c r="AJ214" s="40">
        <f t="shared" si="104"/>
        <v>-12.872747360227883</v>
      </c>
      <c r="AK214" s="40">
        <f t="shared" si="105"/>
        <v>-8.0993130033561656</v>
      </c>
      <c r="AL214" s="40">
        <f t="shared" si="106"/>
        <v>20.691391181871719</v>
      </c>
      <c r="AM214" s="40">
        <f t="shared" si="107"/>
        <v>27.906355712163492</v>
      </c>
      <c r="AN214" s="40">
        <f t="shared" si="116"/>
        <v>15.917956824999999</v>
      </c>
      <c r="AO214" s="40">
        <f t="shared" si="108"/>
        <v>7.8186438216438345</v>
      </c>
      <c r="AP214" s="17">
        <f t="shared" si="109"/>
        <v>0.19915232074537434</v>
      </c>
    </row>
    <row r="215" spans="1:152" x14ac:dyDescent="0.2">
      <c r="B215" s="2">
        <v>39</v>
      </c>
      <c r="C215" s="2">
        <f t="shared" si="110"/>
        <v>2047</v>
      </c>
      <c r="D215" s="36">
        <f t="shared" si="111"/>
        <v>17.142709509397175</v>
      </c>
      <c r="E215" s="36">
        <f t="shared" si="112"/>
        <v>16.828438558457446</v>
      </c>
      <c r="F215" s="36">
        <f t="shared" si="117"/>
        <v>3.1875</v>
      </c>
      <c r="G215" s="36">
        <f t="shared" si="118"/>
        <v>3.0687500000000001</v>
      </c>
      <c r="H215" s="20">
        <f t="shared" si="80"/>
        <v>288.97363131482615</v>
      </c>
      <c r="I215" s="20">
        <f t="shared" si="81"/>
        <v>269.7095591422916</v>
      </c>
      <c r="J215" s="37">
        <f t="shared" si="82"/>
        <v>79.204555507577126</v>
      </c>
      <c r="K215" s="37">
        <f t="shared" si="83"/>
        <v>76.161976443628987</v>
      </c>
      <c r="L215" s="37">
        <f t="shared" si="84"/>
        <v>209.76907580724901</v>
      </c>
      <c r="M215" s="37">
        <f t="shared" si="85"/>
        <v>193.54758269866261</v>
      </c>
      <c r="N215" s="38">
        <f t="shared" si="86"/>
        <v>524.25</v>
      </c>
      <c r="O215" s="38">
        <f t="shared" si="87"/>
        <v>388.75</v>
      </c>
      <c r="P215" s="16">
        <f t="shared" si="88"/>
        <v>41.52298822484731</v>
      </c>
      <c r="Q215" s="16">
        <f t="shared" si="89"/>
        <v>81.547728220068052</v>
      </c>
      <c r="R215" s="18">
        <f t="shared" si="90"/>
        <v>-18.460607466737304</v>
      </c>
      <c r="S215" s="38">
        <f t="shared" si="91"/>
        <v>173.0025</v>
      </c>
      <c r="T215" s="38">
        <f t="shared" si="92"/>
        <v>388.75</v>
      </c>
      <c r="U215" s="16">
        <f t="shared" si="93"/>
        <v>13.176212329688925</v>
      </c>
      <c r="V215" s="16">
        <f t="shared" si="94"/>
        <v>75.241622774105082</v>
      </c>
      <c r="W215" s="18">
        <f t="shared" si="95"/>
        <v>-13.262675265569101</v>
      </c>
      <c r="X215" s="18">
        <f t="shared" si="96"/>
        <v>23.567133457500773</v>
      </c>
      <c r="Y215" s="18">
        <f t="shared" si="97"/>
        <v>19.91925006357738</v>
      </c>
      <c r="Z215" s="16">
        <f t="shared" si="113"/>
        <v>0.5</v>
      </c>
      <c r="AA215" s="18">
        <f t="shared" si="98"/>
        <v>-7.4999999999999997E-2</v>
      </c>
      <c r="AB215" s="18">
        <f t="shared" si="99"/>
        <v>9.5746308050660756E-2</v>
      </c>
      <c r="AC215" s="18">
        <f t="shared" si="114"/>
        <v>8.6563422987334668</v>
      </c>
      <c r="AD215" s="18">
        <f t="shared" si="100"/>
        <v>-4.7580282965410711E-2</v>
      </c>
      <c r="AE215" s="18">
        <f t="shared" si="115"/>
        <v>-3.139047653961125</v>
      </c>
      <c r="AF215" s="18">
        <f t="shared" si="101"/>
        <v>-1.1419267911698569E-2</v>
      </c>
      <c r="AG215" s="18">
        <f t="shared" si="119"/>
        <v>-0.75337143695066999</v>
      </c>
      <c r="AH215" s="19">
        <f t="shared" si="102"/>
        <v>7.3941351218205291</v>
      </c>
      <c r="AI215" s="19">
        <f t="shared" si="103"/>
        <v>11.904264100360178</v>
      </c>
      <c r="AJ215" s="40">
        <f t="shared" si="104"/>
        <v>-12.525114941756851</v>
      </c>
      <c r="AK215" s="40">
        <f t="shared" si="105"/>
        <v>-8.0149859632172031</v>
      </c>
      <c r="AL215" s="40">
        <f t="shared" si="106"/>
        <v>20.428085803539648</v>
      </c>
      <c r="AM215" s="40">
        <f t="shared" si="107"/>
        <v>27.822220925360178</v>
      </c>
      <c r="AN215" s="40">
        <f t="shared" si="116"/>
        <v>15.917956824999999</v>
      </c>
      <c r="AO215" s="40">
        <f t="shared" si="108"/>
        <v>7.902970861782797</v>
      </c>
      <c r="AP215" s="17">
        <f t="shared" si="109"/>
        <v>0.19149261610132151</v>
      </c>
    </row>
    <row r="216" spans="1:152" x14ac:dyDescent="0.2">
      <c r="B216" s="2">
        <v>40</v>
      </c>
      <c r="C216" s="2">
        <f t="shared" si="110"/>
        <v>2048</v>
      </c>
      <c r="D216" s="36">
        <f t="shared" si="111"/>
        <v>17.210282414303204</v>
      </c>
      <c r="E216" s="36">
        <f t="shared" si="112"/>
        <v>16.889254172872871</v>
      </c>
      <c r="F216" s="36">
        <f t="shared" si="117"/>
        <v>3.21875</v>
      </c>
      <c r="G216" s="36">
        <f t="shared" si="118"/>
        <v>3.0968749999999998</v>
      </c>
      <c r="H216" s="20">
        <f t="shared" si="80"/>
        <v>293.57614181620659</v>
      </c>
      <c r="I216" s="20">
        <f t="shared" si="81"/>
        <v>273.68732431551979</v>
      </c>
      <c r="J216" s="37">
        <f t="shared" si="82"/>
        <v>79.865783639809649</v>
      </c>
      <c r="K216" s="37">
        <f t="shared" si="83"/>
        <v>76.746557189487405</v>
      </c>
      <c r="L216" s="43">
        <f t="shared" si="84"/>
        <v>213.71035817639694</v>
      </c>
      <c r="M216" s="37">
        <f t="shared" si="85"/>
        <v>196.94076712603237</v>
      </c>
      <c r="N216" s="38">
        <f t="shared" si="86"/>
        <v>532.125</v>
      </c>
      <c r="O216" s="38">
        <f t="shared" si="87"/>
        <v>394.375</v>
      </c>
      <c r="P216" s="16">
        <f t="shared" si="88"/>
        <v>42.49858011933371</v>
      </c>
      <c r="Q216" s="16">
        <f t="shared" si="89"/>
        <v>84.282022505816542</v>
      </c>
      <c r="R216" s="18">
        <f t="shared" si="90"/>
        <v>-19.017090393772538</v>
      </c>
      <c r="S216" s="38">
        <f t="shared" si="91"/>
        <v>175.60124999999999</v>
      </c>
      <c r="T216" s="38">
        <f t="shared" si="92"/>
        <v>394.375</v>
      </c>
      <c r="U216" s="16">
        <f t="shared" si="93"/>
        <v>13.476791375670475</v>
      </c>
      <c r="V216" s="16">
        <f t="shared" si="94"/>
        <v>77.668515035329008</v>
      </c>
      <c r="W216" s="18">
        <f t="shared" si="95"/>
        <v>-13.671795961649922</v>
      </c>
      <c r="X216" s="18">
        <f t="shared" si="96"/>
        <v>23.343797372684705</v>
      </c>
      <c r="Y216" s="18">
        <f t="shared" si="97"/>
        <v>19.743951549772447</v>
      </c>
      <c r="Z216" s="16">
        <f t="shared" si="113"/>
        <v>0.5</v>
      </c>
      <c r="AA216" s="18">
        <f t="shared" si="98"/>
        <v>-7.4999999999999997E-2</v>
      </c>
      <c r="AB216" s="18">
        <f t="shared" si="99"/>
        <v>9.2063757741019964E-2</v>
      </c>
      <c r="AC216" s="18">
        <f t="shared" si="114"/>
        <v>8.7484060564744865</v>
      </c>
      <c r="AD216" s="18">
        <f t="shared" si="100"/>
        <v>-4.6270161537604382E-2</v>
      </c>
      <c r="AE216" s="18">
        <f t="shared" si="115"/>
        <v>-3.1853178154987294</v>
      </c>
      <c r="AF216" s="18">
        <f t="shared" si="101"/>
        <v>-1.1104838769025051E-2</v>
      </c>
      <c r="AG216" s="18">
        <f t="shared" si="119"/>
        <v>-0.76447627571969501</v>
      </c>
      <c r="AH216" s="19">
        <f t="shared" si="102"/>
        <v>7.5694017733412622</v>
      </c>
      <c r="AI216" s="19">
        <f t="shared" si="103"/>
        <v>11.80992450552724</v>
      </c>
      <c r="AJ216" s="40">
        <f t="shared" si="104"/>
        <v>-12.174549776431185</v>
      </c>
      <c r="AK216" s="40">
        <f t="shared" si="105"/>
        <v>-7.9340270442452079</v>
      </c>
      <c r="AL216" s="40">
        <f t="shared" si="106"/>
        <v>20.158479557185977</v>
      </c>
      <c r="AM216" s="40">
        <f t="shared" si="107"/>
        <v>27.727881330527239</v>
      </c>
      <c r="AN216" s="40">
        <f t="shared" si="116"/>
        <v>15.917956824999999</v>
      </c>
      <c r="AO216" s="40">
        <f t="shared" si="108"/>
        <v>7.9839297807547913</v>
      </c>
      <c r="AP216" s="17">
        <f t="shared" si="109"/>
        <v>0.18412751548203993</v>
      </c>
    </row>
    <row r="217" spans="1:152" x14ac:dyDescent="0.2">
      <c r="D217" s="36"/>
      <c r="E217" s="36"/>
      <c r="F217" s="36"/>
      <c r="G217" s="36"/>
      <c r="M217" s="44"/>
      <c r="V217" s="13"/>
      <c r="AP217" s="17"/>
    </row>
    <row r="218" spans="1:152" x14ac:dyDescent="0.2">
      <c r="A218" s="58"/>
      <c r="D218" s="36"/>
      <c r="E218" s="36"/>
      <c r="F218" s="36"/>
      <c r="G218" s="36"/>
      <c r="M218" s="44"/>
      <c r="V218" s="13"/>
      <c r="AP218" s="17"/>
    </row>
    <row r="219" spans="1:152" s="58" customFormat="1" ht="23.25" x14ac:dyDescent="0.35">
      <c r="A219" s="54"/>
      <c r="B219" s="65" t="s">
        <v>228</v>
      </c>
      <c r="D219" s="59"/>
      <c r="E219" s="59"/>
      <c r="F219" s="59"/>
      <c r="G219" s="59"/>
      <c r="M219" s="60"/>
      <c r="R219" s="72"/>
      <c r="W219" s="72"/>
      <c r="X219" s="72"/>
      <c r="Y219" s="72"/>
      <c r="AA219" s="72"/>
      <c r="AB219" s="72"/>
      <c r="AD219" s="72"/>
      <c r="AF219" s="72"/>
      <c r="AP219" s="61"/>
    </row>
    <row r="220" spans="1:152" s="54" customFormat="1" x14ac:dyDescent="0.2">
      <c r="A220" s="2"/>
      <c r="B220" s="2"/>
      <c r="C220" s="2"/>
      <c r="D220" s="36"/>
      <c r="E220" s="36"/>
      <c r="F220" s="36"/>
      <c r="G220" s="36"/>
      <c r="H220" s="2"/>
      <c r="I220" s="2"/>
      <c r="J220" s="2"/>
      <c r="K220" s="2"/>
      <c r="L220" s="2"/>
      <c r="M220" s="44"/>
      <c r="N220" s="2"/>
      <c r="O220" s="2"/>
      <c r="P220" s="2"/>
      <c r="Q220" s="2"/>
      <c r="R220" s="13"/>
      <c r="S220" s="2"/>
      <c r="T220" s="2"/>
      <c r="U220" s="2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2"/>
      <c r="AK220" s="2"/>
      <c r="AL220" s="2"/>
      <c r="AM220" s="2"/>
      <c r="AN220" s="2"/>
      <c r="AO220" s="2"/>
      <c r="AP220" s="17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</row>
    <row r="221" spans="1:152" s="49" customFormat="1" x14ac:dyDescent="0.2">
      <c r="B221" s="51">
        <v>1</v>
      </c>
      <c r="C221" s="49">
        <v>2</v>
      </c>
      <c r="D221" s="51">
        <v>3</v>
      </c>
      <c r="E221" s="49">
        <v>4</v>
      </c>
      <c r="F221" s="51">
        <v>5</v>
      </c>
      <c r="G221" s="49">
        <v>6</v>
      </c>
      <c r="H221" s="51">
        <v>7</v>
      </c>
      <c r="I221" s="49">
        <v>8</v>
      </c>
      <c r="J221" s="51">
        <v>9</v>
      </c>
      <c r="K221" s="49">
        <v>10</v>
      </c>
      <c r="L221" s="51">
        <v>11</v>
      </c>
      <c r="M221" s="49">
        <v>12</v>
      </c>
      <c r="N221" s="51">
        <v>13</v>
      </c>
      <c r="O221" s="49">
        <v>14</v>
      </c>
      <c r="P221" s="51">
        <v>15</v>
      </c>
      <c r="Q221" s="49">
        <v>16</v>
      </c>
      <c r="R221" s="51">
        <v>17</v>
      </c>
      <c r="S221" s="51">
        <v>18</v>
      </c>
      <c r="T221" s="49">
        <v>19</v>
      </c>
      <c r="U221" s="51">
        <v>20</v>
      </c>
      <c r="V221" s="49">
        <v>21</v>
      </c>
      <c r="W221" s="51">
        <v>22</v>
      </c>
      <c r="X221" s="51">
        <v>23</v>
      </c>
      <c r="Y221" s="51">
        <v>24</v>
      </c>
      <c r="Z221" s="51">
        <v>25</v>
      </c>
      <c r="AA221" s="51">
        <v>26</v>
      </c>
      <c r="AB221" s="51">
        <v>27</v>
      </c>
      <c r="AC221" s="51">
        <v>28</v>
      </c>
      <c r="AD221" s="51">
        <v>29</v>
      </c>
      <c r="AE221" s="51">
        <v>30</v>
      </c>
      <c r="AF221" s="51">
        <v>31</v>
      </c>
      <c r="AG221" s="49">
        <v>32</v>
      </c>
      <c r="AH221" s="49">
        <v>33</v>
      </c>
      <c r="AI221" s="49">
        <v>34</v>
      </c>
      <c r="AJ221" s="49">
        <v>35</v>
      </c>
      <c r="AK221" s="49">
        <v>36</v>
      </c>
      <c r="AL221" s="49">
        <v>37</v>
      </c>
      <c r="AM221" s="49">
        <v>38</v>
      </c>
      <c r="AN221" s="49">
        <v>39</v>
      </c>
      <c r="AO221" s="49">
        <v>40</v>
      </c>
    </row>
    <row r="222" spans="1:152" x14ac:dyDescent="0.2">
      <c r="D222" s="52"/>
      <c r="E222" s="53"/>
      <c r="F222" s="52" t="s">
        <v>65</v>
      </c>
      <c r="G222" s="53" t="s">
        <v>66</v>
      </c>
      <c r="H222" s="32" t="s">
        <v>271</v>
      </c>
      <c r="I222" s="33" t="s">
        <v>271</v>
      </c>
      <c r="J222" s="32" t="s">
        <v>271</v>
      </c>
      <c r="K222" s="33" t="s">
        <v>271</v>
      </c>
      <c r="L222" s="32" t="s">
        <v>271</v>
      </c>
      <c r="M222" s="33" t="s">
        <v>64</v>
      </c>
      <c r="N222" s="32"/>
      <c r="O222" s="32"/>
      <c r="P222" s="32"/>
      <c r="Q222" s="32"/>
      <c r="S222" s="33"/>
      <c r="T222" s="33"/>
      <c r="U222" s="33"/>
      <c r="V222" s="33"/>
      <c r="Z222" s="33"/>
      <c r="AC222" s="33"/>
      <c r="AE222" s="32" t="s">
        <v>74</v>
      </c>
      <c r="AG222" s="33"/>
      <c r="AH222" s="34"/>
      <c r="AI222" s="34"/>
      <c r="AJ222" s="34"/>
      <c r="AK222" s="34"/>
      <c r="AL222" s="32" t="s">
        <v>276</v>
      </c>
      <c r="AM222" s="33" t="s">
        <v>276</v>
      </c>
      <c r="AN222" s="33" t="s">
        <v>276</v>
      </c>
      <c r="AO222" s="33" t="s">
        <v>277</v>
      </c>
      <c r="AP222" s="17"/>
      <c r="AV222"/>
    </row>
    <row r="223" spans="1:152" x14ac:dyDescent="0.2">
      <c r="D223" s="52" t="s">
        <v>1</v>
      </c>
      <c r="E223" s="53" t="s">
        <v>3</v>
      </c>
      <c r="F223" s="52" t="s">
        <v>269</v>
      </c>
      <c r="G223" s="53" t="s">
        <v>269</v>
      </c>
      <c r="H223" s="32" t="s">
        <v>270</v>
      </c>
      <c r="I223" s="33" t="s">
        <v>270</v>
      </c>
      <c r="J223" s="32" t="s">
        <v>91</v>
      </c>
      <c r="K223" s="33" t="s">
        <v>91</v>
      </c>
      <c r="L223" s="32" t="s">
        <v>92</v>
      </c>
      <c r="M223" s="33" t="s">
        <v>92</v>
      </c>
      <c r="N223" s="32" t="s">
        <v>70</v>
      </c>
      <c r="O223" s="32" t="s">
        <v>70</v>
      </c>
      <c r="P223" s="32" t="s">
        <v>1</v>
      </c>
      <c r="Q223" s="32" t="s">
        <v>1</v>
      </c>
      <c r="S223" s="33" t="s">
        <v>71</v>
      </c>
      <c r="T223" s="33" t="s">
        <v>71</v>
      </c>
      <c r="U223" s="33" t="s">
        <v>3</v>
      </c>
      <c r="V223" s="33" t="s">
        <v>3</v>
      </c>
      <c r="W223" s="13" t="s">
        <v>192</v>
      </c>
      <c r="X223" s="13" t="s">
        <v>72</v>
      </c>
      <c r="Y223" s="13" t="s">
        <v>3</v>
      </c>
      <c r="Z223" s="33" t="s">
        <v>73</v>
      </c>
      <c r="AB223" s="13" t="s">
        <v>73</v>
      </c>
      <c r="AC223" s="33" t="s">
        <v>73</v>
      </c>
      <c r="AD223" s="13" t="s">
        <v>74</v>
      </c>
      <c r="AE223" s="32" t="s">
        <v>275</v>
      </c>
      <c r="AF223" s="13" t="s">
        <v>75</v>
      </c>
      <c r="AG223" s="33" t="s">
        <v>75</v>
      </c>
      <c r="AH223" s="34" t="s">
        <v>76</v>
      </c>
      <c r="AI223" s="34" t="s">
        <v>76</v>
      </c>
      <c r="AJ223" s="34" t="s">
        <v>76</v>
      </c>
      <c r="AK223" s="34" t="s">
        <v>76</v>
      </c>
      <c r="AL223" s="32" t="s">
        <v>197</v>
      </c>
      <c r="AM223" s="33" t="s">
        <v>199</v>
      </c>
      <c r="AN223" s="33" t="s">
        <v>203</v>
      </c>
      <c r="AO223" s="33" t="s">
        <v>200</v>
      </c>
      <c r="AP223" s="17"/>
    </row>
    <row r="224" spans="1:152" x14ac:dyDescent="0.2">
      <c r="C224" s="2" t="s">
        <v>78</v>
      </c>
      <c r="D224" s="52" t="s">
        <v>79</v>
      </c>
      <c r="E224" s="53" t="s">
        <v>80</v>
      </c>
      <c r="F224" s="52" t="s">
        <v>1</v>
      </c>
      <c r="G224" s="53" t="s">
        <v>3</v>
      </c>
      <c r="H224" s="32" t="s">
        <v>1</v>
      </c>
      <c r="I224" s="33" t="s">
        <v>3</v>
      </c>
      <c r="J224" s="32" t="s">
        <v>1</v>
      </c>
      <c r="K224" s="33" t="s">
        <v>3</v>
      </c>
      <c r="L224" s="32" t="s">
        <v>1</v>
      </c>
      <c r="M224" s="33" t="s">
        <v>3</v>
      </c>
      <c r="N224" s="32" t="s">
        <v>55</v>
      </c>
      <c r="O224" s="32" t="s">
        <v>55</v>
      </c>
      <c r="P224" s="32" t="s">
        <v>82</v>
      </c>
      <c r="Q224" s="32" t="s">
        <v>82</v>
      </c>
      <c r="S224" s="33" t="s">
        <v>55</v>
      </c>
      <c r="T224" s="33" t="s">
        <v>55</v>
      </c>
      <c r="U224" s="33" t="s">
        <v>82</v>
      </c>
      <c r="V224" s="33" t="s">
        <v>82</v>
      </c>
      <c r="W224" s="13" t="s">
        <v>195</v>
      </c>
      <c r="X224" s="13" t="s">
        <v>83</v>
      </c>
      <c r="Y224" s="13" t="s">
        <v>82</v>
      </c>
      <c r="Z224" s="33" t="s">
        <v>84</v>
      </c>
      <c r="AB224" s="13" t="s">
        <v>84</v>
      </c>
      <c r="AC224" s="33" t="s">
        <v>84</v>
      </c>
      <c r="AD224" s="13" t="s">
        <v>275</v>
      </c>
      <c r="AE224" s="32" t="s">
        <v>274</v>
      </c>
      <c r="AF224" s="13" t="s">
        <v>275</v>
      </c>
      <c r="AG224" s="33" t="s">
        <v>275</v>
      </c>
      <c r="AH224" s="34" t="s">
        <v>86</v>
      </c>
      <c r="AI224" s="34" t="s">
        <v>87</v>
      </c>
      <c r="AJ224" s="34" t="s">
        <v>88</v>
      </c>
      <c r="AK224" s="34" t="s">
        <v>89</v>
      </c>
      <c r="AL224" s="32" t="s">
        <v>198</v>
      </c>
      <c r="AM224" s="33" t="s">
        <v>200</v>
      </c>
      <c r="AN224" s="33" t="s">
        <v>204</v>
      </c>
      <c r="AO224" s="33" t="s">
        <v>201</v>
      </c>
      <c r="AP224" s="17"/>
      <c r="AS224" s="2" t="s">
        <v>224</v>
      </c>
    </row>
    <row r="225" spans="2:52" x14ac:dyDescent="0.2">
      <c r="B225" s="2" t="s">
        <v>78</v>
      </c>
      <c r="D225" s="36"/>
      <c r="E225" s="36"/>
      <c r="F225" s="36"/>
      <c r="G225" s="36"/>
      <c r="H225" s="13" t="s">
        <v>105</v>
      </c>
      <c r="I225" s="13" t="s">
        <v>105</v>
      </c>
      <c r="J225" s="13" t="s">
        <v>105</v>
      </c>
      <c r="K225" s="13" t="s">
        <v>105</v>
      </c>
      <c r="L225" s="13" t="s">
        <v>105</v>
      </c>
      <c r="M225" s="13" t="s">
        <v>105</v>
      </c>
      <c r="N225" s="35"/>
      <c r="O225" s="32" t="s">
        <v>92</v>
      </c>
      <c r="P225" s="16" t="s">
        <v>91</v>
      </c>
      <c r="Q225" s="16" t="s">
        <v>92</v>
      </c>
      <c r="S225" s="16" t="s">
        <v>91</v>
      </c>
      <c r="T225" s="16" t="s">
        <v>92</v>
      </c>
      <c r="U225" s="16" t="s">
        <v>91</v>
      </c>
      <c r="V225" s="16" t="s">
        <v>92</v>
      </c>
      <c r="W225" s="13" t="s">
        <v>194</v>
      </c>
      <c r="X225" s="13" t="s">
        <v>273</v>
      </c>
      <c r="Y225" s="13" t="s">
        <v>273</v>
      </c>
      <c r="Z225" s="2"/>
      <c r="AB225" s="13" t="s">
        <v>273</v>
      </c>
      <c r="AC225" s="13" t="s">
        <v>274</v>
      </c>
      <c r="AD225" s="13" t="s">
        <v>273</v>
      </c>
      <c r="AE225" s="32" t="s">
        <v>100</v>
      </c>
      <c r="AF225" s="13" t="s">
        <v>273</v>
      </c>
      <c r="AG225" s="33" t="s">
        <v>274</v>
      </c>
      <c r="AH225" s="34" t="s">
        <v>183</v>
      </c>
      <c r="AI225" s="34" t="s">
        <v>184</v>
      </c>
      <c r="AJ225" s="34" t="s">
        <v>185</v>
      </c>
      <c r="AK225" s="34" t="s">
        <v>186</v>
      </c>
      <c r="AL225" s="32"/>
      <c r="AM225" s="33" t="s">
        <v>201</v>
      </c>
      <c r="AN225" s="33"/>
      <c r="AO225" s="33"/>
      <c r="AP225" s="17"/>
    </row>
    <row r="226" spans="2:52" x14ac:dyDescent="0.2">
      <c r="D226" s="36"/>
      <c r="E226" s="36"/>
      <c r="F226" s="36"/>
      <c r="G226" s="36"/>
      <c r="H226" s="37"/>
      <c r="I226" s="37"/>
      <c r="J226" s="37"/>
      <c r="K226" s="37"/>
      <c r="L226" s="37"/>
      <c r="M226" s="37"/>
      <c r="N226" s="35"/>
      <c r="O226" s="35"/>
      <c r="P226" s="16"/>
      <c r="Q226" s="16"/>
      <c r="S226" s="35"/>
      <c r="T226" s="35"/>
      <c r="U226" s="16"/>
      <c r="V226" s="16"/>
      <c r="W226" s="18"/>
      <c r="X226" s="18"/>
      <c r="Y226" s="18"/>
      <c r="Z226" s="16"/>
      <c r="AA226" s="18"/>
      <c r="AB226" s="18"/>
      <c r="AC226" s="18"/>
      <c r="AG226" s="33" t="s">
        <v>101</v>
      </c>
      <c r="AH226" s="19"/>
      <c r="AI226" s="19"/>
      <c r="AJ226" s="40"/>
      <c r="AK226" s="40"/>
      <c r="AL226" s="2" t="s">
        <v>237</v>
      </c>
      <c r="AM226" s="2" t="s">
        <v>238</v>
      </c>
      <c r="AN226" s="2" t="s">
        <v>239</v>
      </c>
      <c r="AO226" s="2" t="s">
        <v>240</v>
      </c>
      <c r="AP226" s="17"/>
      <c r="AS226" s="2" t="s">
        <v>220</v>
      </c>
      <c r="AT226" s="2" t="s">
        <v>221</v>
      </c>
      <c r="AU226" s="2" t="s">
        <v>222</v>
      </c>
      <c r="AW226"/>
      <c r="AX226"/>
      <c r="AY226"/>
      <c r="AZ226"/>
    </row>
    <row r="227" spans="2:52" x14ac:dyDescent="0.2">
      <c r="B227" s="2">
        <v>1</v>
      </c>
      <c r="C227" s="63">
        <f ca="1">NOW()</f>
        <v>42026.383684953704</v>
      </c>
      <c r="D227" s="36">
        <f>$C$9</f>
        <v>14</v>
      </c>
      <c r="E227" s="36">
        <f>$C$9</f>
        <v>14</v>
      </c>
      <c r="F227" s="36">
        <f t="shared" ref="F227:F266" ca="1" si="120">($C$10/16)+(($C$11*($C227-$C$127))/16)</f>
        <v>1252.5432401548032</v>
      </c>
      <c r="G227" s="36">
        <f t="shared" ref="G227:AO227" si="121">IF($C$20="doyle",G78,IF($C$20="scribner",G127,G177))</f>
        <v>2</v>
      </c>
      <c r="H227" s="2">
        <f t="shared" si="121"/>
        <v>130.46541999999999</v>
      </c>
      <c r="I227" s="43">
        <f t="shared" si="121"/>
        <v>130.46541999999999</v>
      </c>
      <c r="J227" s="43">
        <f t="shared" si="121"/>
        <v>51.200139999999998</v>
      </c>
      <c r="K227" s="43">
        <f t="shared" si="121"/>
        <v>51.200139999999998</v>
      </c>
      <c r="L227" s="43">
        <f t="shared" si="121"/>
        <v>79.26527999999999</v>
      </c>
      <c r="M227" s="43">
        <f t="shared" si="121"/>
        <v>79.26527999999999</v>
      </c>
      <c r="N227" s="40">
        <f t="shared" si="121"/>
        <v>175</v>
      </c>
      <c r="O227" s="40">
        <f t="shared" si="121"/>
        <v>125</v>
      </c>
      <c r="P227" s="40">
        <f t="shared" si="121"/>
        <v>8.9600244999999994</v>
      </c>
      <c r="Q227" s="40">
        <f t="shared" si="121"/>
        <v>9.9081599999999987</v>
      </c>
      <c r="R227" s="19">
        <f t="shared" si="121"/>
        <v>-2.8302276749999997</v>
      </c>
      <c r="S227" s="40">
        <f t="shared" si="121"/>
        <v>57.75</v>
      </c>
      <c r="T227" s="40">
        <f t="shared" si="121"/>
        <v>125</v>
      </c>
      <c r="U227" s="40">
        <f t="shared" si="121"/>
        <v>2.956808085</v>
      </c>
      <c r="V227" s="40">
        <f t="shared" si="121"/>
        <v>9.9081599999999987</v>
      </c>
      <c r="W227" s="19">
        <f t="shared" si="121"/>
        <v>-1.9297452127499999</v>
      </c>
      <c r="X227" s="19">
        <f t="shared" si="121"/>
        <v>16.037956824999998</v>
      </c>
      <c r="Y227" s="19">
        <f t="shared" si="121"/>
        <v>12.864968084999999</v>
      </c>
      <c r="Z227" s="40">
        <f t="shared" si="121"/>
        <v>0.5</v>
      </c>
      <c r="AA227" s="19">
        <f t="shared" si="121"/>
        <v>-7.4999999999999997E-2</v>
      </c>
      <c r="AB227" s="19">
        <f t="shared" si="121"/>
        <v>0.42499999999999999</v>
      </c>
      <c r="AC227" s="40">
        <f t="shared" si="121"/>
        <v>0.42499999999999999</v>
      </c>
      <c r="AD227" s="19">
        <f t="shared" si="121"/>
        <v>-0.12</v>
      </c>
      <c r="AE227" s="40">
        <f t="shared" si="121"/>
        <v>-0.12</v>
      </c>
      <c r="AF227" s="19">
        <f t="shared" si="121"/>
        <v>-2.8799999999999996E-2</v>
      </c>
      <c r="AG227" s="40">
        <f t="shared" si="121"/>
        <v>-2.8799999999999996E-2</v>
      </c>
      <c r="AH227" s="40">
        <f t="shared" si="121"/>
        <v>-2.6567887399999996</v>
      </c>
      <c r="AI227" s="40">
        <f t="shared" si="121"/>
        <v>-2.6567887399999996</v>
      </c>
      <c r="AJ227" s="40">
        <f t="shared" si="121"/>
        <v>-15.521756824999999</v>
      </c>
      <c r="AK227" s="40">
        <f t="shared" si="121"/>
        <v>-15.521756824999999</v>
      </c>
      <c r="AL227" s="40">
        <f t="shared" si="121"/>
        <v>15.917956824999999</v>
      </c>
      <c r="AM227" s="40">
        <f t="shared" si="121"/>
        <v>13.261168085</v>
      </c>
      <c r="AN227" s="40">
        <f t="shared" si="121"/>
        <v>15.917956824999999</v>
      </c>
      <c r="AO227" s="40">
        <f t="shared" si="121"/>
        <v>0.3962</v>
      </c>
      <c r="AP227" s="17"/>
      <c r="AS227" s="16">
        <f t="shared" ref="AS227:AS266" si="122">IF($H$4="leasing",AO227:AO266,AM227:AM266)</f>
        <v>0.3962</v>
      </c>
      <c r="AT227" s="16">
        <f t="shared" ref="AT227:AT266" si="123">IF($H$5="future",AL227:AL266,AN227:AN266)</f>
        <v>15.917956824999999</v>
      </c>
      <c r="AU227" s="40">
        <f>AS227-AT227</f>
        <v>-15.521756824999999</v>
      </c>
      <c r="AW227" s="40"/>
    </row>
    <row r="228" spans="2:52" x14ac:dyDescent="0.2">
      <c r="B228" s="2">
        <v>2</v>
      </c>
      <c r="C228" s="63">
        <f t="shared" ref="C228:C266" ca="1" si="124">C227+365</f>
        <v>42391.383684953704</v>
      </c>
      <c r="D228" s="36">
        <f t="shared" ref="D228:D266" si="125">D227+$C$14</f>
        <v>14.1</v>
      </c>
      <c r="E228" s="36">
        <f t="shared" ref="E228:E266" si="126">E227+$H$13</f>
        <v>14.09</v>
      </c>
      <c r="F228" s="36">
        <f t="shared" ca="1" si="120"/>
        <v>1263.9494901548032</v>
      </c>
      <c r="G228" s="36">
        <f t="shared" ref="G228:AO228" si="127">IF($C$20="doyle",G79,IF($C$20="scribner",G128,G178))</f>
        <v>2.0278437500000002</v>
      </c>
      <c r="H228" s="2">
        <f t="shared" si="127"/>
        <v>134.05739684624382</v>
      </c>
      <c r="I228" s="43">
        <f t="shared" si="127"/>
        <v>133.69549677370173</v>
      </c>
      <c r="J228" s="43">
        <f t="shared" si="127"/>
        <v>52.000238234402502</v>
      </c>
      <c r="K228" s="43">
        <f t="shared" si="127"/>
        <v>51.919988127441023</v>
      </c>
      <c r="L228" s="43">
        <f t="shared" si="127"/>
        <v>82.057158611841317</v>
      </c>
      <c r="M228" s="43">
        <f t="shared" si="127"/>
        <v>81.775508646260704</v>
      </c>
      <c r="N228" s="40">
        <f t="shared" si="127"/>
        <v>182.875</v>
      </c>
      <c r="O228" s="40">
        <f t="shared" si="127"/>
        <v>130.625</v>
      </c>
      <c r="P228" s="40">
        <f t="shared" si="127"/>
        <v>9.5095435671163582</v>
      </c>
      <c r="Q228" s="40">
        <f t="shared" si="127"/>
        <v>10.718716343671771</v>
      </c>
      <c r="R228" s="19">
        <f t="shared" si="127"/>
        <v>-3.0342389866182193</v>
      </c>
      <c r="S228" s="40">
        <f t="shared" si="127"/>
        <v>60.348750000000003</v>
      </c>
      <c r="T228" s="40">
        <f t="shared" si="127"/>
        <v>130.625</v>
      </c>
      <c r="U228" s="40">
        <f t="shared" si="127"/>
        <v>3.1333063835059063</v>
      </c>
      <c r="V228" s="40">
        <f t="shared" si="127"/>
        <v>10.681925816917804</v>
      </c>
      <c r="W228" s="19">
        <f t="shared" si="127"/>
        <v>-2.0722848300635568</v>
      </c>
      <c r="X228" s="19">
        <f t="shared" si="127"/>
        <v>16.532712427086452</v>
      </c>
      <c r="Y228" s="19">
        <f t="shared" si="127"/>
        <v>13.283877115792031</v>
      </c>
      <c r="Z228" s="40">
        <f t="shared" si="127"/>
        <v>0.5</v>
      </c>
      <c r="AA228" s="19">
        <f t="shared" si="127"/>
        <v>-7.4999999999999997E-2</v>
      </c>
      <c r="AB228" s="19">
        <f t="shared" si="127"/>
        <v>0.40865384615384615</v>
      </c>
      <c r="AC228" s="40">
        <f t="shared" si="127"/>
        <v>0.83365384615384608</v>
      </c>
      <c r="AD228" s="19">
        <f t="shared" si="127"/>
        <v>-0.11769230769230768</v>
      </c>
      <c r="AE228" s="40">
        <f t="shared" si="127"/>
        <v>-0.23769230769230767</v>
      </c>
      <c r="AF228" s="19">
        <f t="shared" si="127"/>
        <v>-2.8246153846153841E-2</v>
      </c>
      <c r="AG228" s="40">
        <f t="shared" si="127"/>
        <v>-5.7046153846153837E-2</v>
      </c>
      <c r="AH228" s="40">
        <f t="shared" si="127"/>
        <v>-2.2345353112944224</v>
      </c>
      <c r="AI228" s="40">
        <f t="shared" si="127"/>
        <v>-1.8574720169002763</v>
      </c>
      <c r="AJ228" s="40">
        <f t="shared" si="127"/>
        <v>-15.518412427086453</v>
      </c>
      <c r="AK228" s="40">
        <f t="shared" si="127"/>
        <v>-15.141349132692307</v>
      </c>
      <c r="AL228" s="40">
        <f t="shared" si="127"/>
        <v>16.295020119394145</v>
      </c>
      <c r="AM228" s="40">
        <f t="shared" si="127"/>
        <v>14.060484808099723</v>
      </c>
      <c r="AN228" s="40">
        <f t="shared" si="127"/>
        <v>15.917956824999999</v>
      </c>
      <c r="AO228" s="40">
        <f t="shared" si="127"/>
        <v>0.77660769230769222</v>
      </c>
      <c r="AP228" s="17"/>
      <c r="AS228" s="16">
        <f t="shared" si="122"/>
        <v>0.77660769230769222</v>
      </c>
      <c r="AT228" s="16">
        <f t="shared" si="123"/>
        <v>16.295020119394145</v>
      </c>
      <c r="AU228" s="40">
        <f t="shared" ref="AU228:AU266" si="128">AS228-AT228</f>
        <v>-15.518412427086453</v>
      </c>
    </row>
    <row r="229" spans="2:52" x14ac:dyDescent="0.2">
      <c r="B229" s="2">
        <v>3</v>
      </c>
      <c r="C229" s="63">
        <f t="shared" ca="1" si="124"/>
        <v>42756.383684953704</v>
      </c>
      <c r="D229" s="36">
        <f t="shared" si="125"/>
        <v>14.2</v>
      </c>
      <c r="E229" s="36">
        <f t="shared" si="126"/>
        <v>14.18</v>
      </c>
      <c r="F229" s="36">
        <f t="shared" ca="1" si="120"/>
        <v>1275.3557401548032</v>
      </c>
      <c r="G229" s="36">
        <f t="shared" ref="G229:AO229" si="129">IF($C$20="doyle",G80,IF($C$20="scribner",G129,G179))</f>
        <v>2.0562499999999999</v>
      </c>
      <c r="H229" s="2">
        <f t="shared" si="129"/>
        <v>137.71727072015233</v>
      </c>
      <c r="I229" s="43">
        <f t="shared" si="129"/>
        <v>136.98124209367123</v>
      </c>
      <c r="J229" s="43">
        <f t="shared" si="129"/>
        <v>52.797595292740596</v>
      </c>
      <c r="K229" s="43">
        <f t="shared" si="129"/>
        <v>52.636898216694135</v>
      </c>
      <c r="L229" s="43">
        <f t="shared" si="129"/>
        <v>84.919675427411732</v>
      </c>
      <c r="M229" s="43">
        <f t="shared" si="129"/>
        <v>84.344343876977092</v>
      </c>
      <c r="N229" s="40">
        <f t="shared" si="129"/>
        <v>190.75</v>
      </c>
      <c r="O229" s="40">
        <f t="shared" si="129"/>
        <v>136.25</v>
      </c>
      <c r="P229" s="40">
        <f t="shared" si="129"/>
        <v>10.071141302090268</v>
      </c>
      <c r="Q229" s="40">
        <f t="shared" si="129"/>
        <v>11.570305776984849</v>
      </c>
      <c r="R229" s="19">
        <f t="shared" si="129"/>
        <v>-3.2462170618612674</v>
      </c>
      <c r="S229" s="40">
        <f t="shared" si="129"/>
        <v>62.947499999999998</v>
      </c>
      <c r="T229" s="40">
        <f t="shared" si="129"/>
        <v>136.25</v>
      </c>
      <c r="U229" s="40">
        <f t="shared" si="129"/>
        <v>3.3133611504953544</v>
      </c>
      <c r="V229" s="40">
        <f t="shared" si="129"/>
        <v>11.491916853238129</v>
      </c>
      <c r="W229" s="19">
        <f t="shared" si="129"/>
        <v>-2.2207917005600226</v>
      </c>
      <c r="X229" s="19">
        <f t="shared" si="129"/>
        <v>17.007424202305703</v>
      </c>
      <c r="Y229" s="19">
        <f t="shared" si="129"/>
        <v>13.688311763806844</v>
      </c>
      <c r="Z229" s="40">
        <f t="shared" si="129"/>
        <v>0.5</v>
      </c>
      <c r="AA229" s="19">
        <f t="shared" si="129"/>
        <v>-7.4999999999999997E-2</v>
      </c>
      <c r="AB229" s="19">
        <f t="shared" si="129"/>
        <v>0.39293639053254431</v>
      </c>
      <c r="AC229" s="40">
        <f t="shared" si="129"/>
        <v>1.2265902366863903</v>
      </c>
      <c r="AD229" s="19">
        <f t="shared" si="129"/>
        <v>-0.11538461538461536</v>
      </c>
      <c r="AE229" s="40">
        <f t="shared" si="129"/>
        <v>-0.35307692307692307</v>
      </c>
      <c r="AF229" s="19">
        <f t="shared" si="129"/>
        <v>-2.7692307692307686E-2</v>
      </c>
      <c r="AG229" s="40">
        <f t="shared" si="129"/>
        <v>-8.4738461538461526E-2</v>
      </c>
      <c r="AH229" s="40">
        <f t="shared" si="129"/>
        <v>-1.8241837402740071</v>
      </c>
      <c r="AI229" s="40">
        <f t="shared" si="129"/>
        <v>-1.0877932860452262</v>
      </c>
      <c r="AJ229" s="40">
        <f t="shared" si="129"/>
        <v>-15.512495504080851</v>
      </c>
      <c r="AK229" s="40">
        <f t="shared" si="129"/>
        <v>-14.77610504985207</v>
      </c>
      <c r="AL229" s="40">
        <f t="shared" si="129"/>
        <v>16.65434727922878</v>
      </c>
      <c r="AM229" s="40">
        <f t="shared" si="129"/>
        <v>14.830163538954773</v>
      </c>
      <c r="AN229" s="40">
        <f t="shared" si="129"/>
        <v>15.917956824999999</v>
      </c>
      <c r="AO229" s="40">
        <f t="shared" si="129"/>
        <v>1.1418517751479289</v>
      </c>
      <c r="AP229" s="17"/>
      <c r="AS229" s="16">
        <f t="shared" si="122"/>
        <v>1.1418517751479289</v>
      </c>
      <c r="AT229" s="16">
        <f t="shared" si="123"/>
        <v>16.65434727922878</v>
      </c>
      <c r="AU229" s="40">
        <f t="shared" si="128"/>
        <v>-15.512495504080851</v>
      </c>
    </row>
    <row r="230" spans="2:52" x14ac:dyDescent="0.2">
      <c r="B230" s="2">
        <v>4</v>
      </c>
      <c r="C230" s="63">
        <f t="shared" ca="1" si="124"/>
        <v>43121.383684953704</v>
      </c>
      <c r="D230" s="36">
        <f t="shared" si="125"/>
        <v>14.299999999999999</v>
      </c>
      <c r="E230" s="36">
        <f t="shared" si="126"/>
        <v>14.27</v>
      </c>
      <c r="F230" s="36">
        <f t="shared" ca="1" si="120"/>
        <v>1286.7619901548032</v>
      </c>
      <c r="G230" s="36">
        <f t="shared" ref="G230:AO230" si="130">IF($C$20="doyle",G81,IF($C$20="scribner",G130,G180))</f>
        <v>2.0843750000000001</v>
      </c>
      <c r="H230" s="2">
        <f t="shared" si="130"/>
        <v>141.40025682034513</v>
      </c>
      <c r="I230" s="43">
        <f t="shared" si="130"/>
        <v>140.28243794663885</v>
      </c>
      <c r="J230" s="43">
        <f t="shared" si="130"/>
        <v>53.592133916629962</v>
      </c>
      <c r="K230" s="43">
        <f t="shared" si="130"/>
        <v>53.350814865323777</v>
      </c>
      <c r="L230" s="43">
        <f t="shared" si="130"/>
        <v>87.808122903715173</v>
      </c>
      <c r="M230" s="43">
        <f t="shared" si="130"/>
        <v>86.931623081315081</v>
      </c>
      <c r="N230" s="40">
        <f t="shared" si="130"/>
        <v>198.625</v>
      </c>
      <c r="O230" s="40">
        <f t="shared" si="130"/>
        <v>141.875</v>
      </c>
      <c r="P230" s="40">
        <f t="shared" si="130"/>
        <v>10.644737599190625</v>
      </c>
      <c r="Q230" s="40">
        <f t="shared" si="130"/>
        <v>12.457777436964591</v>
      </c>
      <c r="R230" s="19">
        <f t="shared" si="130"/>
        <v>-3.4653772554232827</v>
      </c>
      <c r="S230" s="40">
        <f t="shared" si="130"/>
        <v>65.546250000000001</v>
      </c>
      <c r="T230" s="40">
        <f t="shared" si="130"/>
        <v>141.875</v>
      </c>
      <c r="U230" s="40">
        <f t="shared" si="130"/>
        <v>3.4969458488662286</v>
      </c>
      <c r="V230" s="40">
        <f t="shared" si="130"/>
        <v>12.333424024661577</v>
      </c>
      <c r="W230" s="19">
        <f t="shared" si="130"/>
        <v>-2.3745554810291707</v>
      </c>
      <c r="X230" s="19">
        <f t="shared" si="130"/>
        <v>17.457343981789737</v>
      </c>
      <c r="Y230" s="19">
        <f t="shared" si="130"/>
        <v>14.07314117397997</v>
      </c>
      <c r="Z230" s="40">
        <f t="shared" si="130"/>
        <v>0.5</v>
      </c>
      <c r="AA230" s="19">
        <f t="shared" si="130"/>
        <v>-7.4999999999999997E-2</v>
      </c>
      <c r="AB230" s="19">
        <f t="shared" si="130"/>
        <v>0.37782345243513876</v>
      </c>
      <c r="AC230" s="40">
        <f t="shared" si="130"/>
        <v>1.604413689121529</v>
      </c>
      <c r="AD230" s="19">
        <f t="shared" si="130"/>
        <v>-0.11308033682294037</v>
      </c>
      <c r="AE230" s="40">
        <f t="shared" si="130"/>
        <v>-0.46615725989986345</v>
      </c>
      <c r="AF230" s="19">
        <f t="shared" si="130"/>
        <v>-2.7139280837505685E-2</v>
      </c>
      <c r="AG230" s="40">
        <f t="shared" si="130"/>
        <v>-0.1118777423759672</v>
      </c>
      <c r="AH230" s="40">
        <f t="shared" si="130"/>
        <v>-1.4255096011643431</v>
      </c>
      <c r="AI230" s="40">
        <f t="shared" si="130"/>
        <v>-0.35227970427446742</v>
      </c>
      <c r="AJ230" s="40">
        <f t="shared" si="130"/>
        <v>-15.498650775144313</v>
      </c>
      <c r="AK230" s="40">
        <f t="shared" si="130"/>
        <v>-14.425420878254437</v>
      </c>
      <c r="AL230" s="40">
        <f t="shared" si="130"/>
        <v>16.991186721889875</v>
      </c>
      <c r="AM230" s="40">
        <f t="shared" si="130"/>
        <v>15.565677120725532</v>
      </c>
      <c r="AN230" s="40">
        <f t="shared" si="130"/>
        <v>15.917956824999999</v>
      </c>
      <c r="AO230" s="40">
        <f t="shared" si="130"/>
        <v>1.4925359467455619</v>
      </c>
      <c r="AP230" s="17"/>
      <c r="AS230" s="16">
        <f t="shared" si="122"/>
        <v>1.4925359467455619</v>
      </c>
      <c r="AT230" s="16">
        <f t="shared" si="123"/>
        <v>16.991186721889875</v>
      </c>
      <c r="AU230" s="40">
        <f t="shared" si="128"/>
        <v>-15.498650775144313</v>
      </c>
    </row>
    <row r="231" spans="2:52" x14ac:dyDescent="0.2">
      <c r="B231" s="2">
        <v>5</v>
      </c>
      <c r="C231" s="63">
        <f t="shared" ca="1" si="124"/>
        <v>43486.383684953704</v>
      </c>
      <c r="D231" s="36">
        <f t="shared" si="125"/>
        <v>14.399999999999999</v>
      </c>
      <c r="E231" s="36">
        <f t="shared" si="126"/>
        <v>14.36</v>
      </c>
      <c r="F231" s="36">
        <f t="shared" ca="1" si="120"/>
        <v>1298.1682401548032</v>
      </c>
      <c r="G231" s="36">
        <f t="shared" ref="G231:AO231" si="131">IF($C$20="doyle",G82,IF($C$20="scribner",G131,G181))</f>
        <v>2.1124999999999998</v>
      </c>
      <c r="H231" s="2">
        <f t="shared" si="131"/>
        <v>145.1204238454219</v>
      </c>
      <c r="I231" s="43">
        <f t="shared" si="131"/>
        <v>143.61177591672953</v>
      </c>
      <c r="J231" s="43">
        <f t="shared" si="131"/>
        <v>54.383779703205995</v>
      </c>
      <c r="K231" s="43">
        <f t="shared" si="131"/>
        <v>54.06168491209683</v>
      </c>
      <c r="L231" s="43">
        <f t="shared" si="131"/>
        <v>90.736644142215908</v>
      </c>
      <c r="M231" s="43">
        <f t="shared" si="131"/>
        <v>89.550091004632691</v>
      </c>
      <c r="N231" s="40">
        <f t="shared" si="131"/>
        <v>206.5</v>
      </c>
      <c r="O231" s="40">
        <f t="shared" si="131"/>
        <v>147.5</v>
      </c>
      <c r="P231" s="40">
        <f t="shared" si="131"/>
        <v>11.230250508712038</v>
      </c>
      <c r="Q231" s="40">
        <f t="shared" si="131"/>
        <v>13.383655010976845</v>
      </c>
      <c r="R231" s="19">
        <f t="shared" si="131"/>
        <v>-3.6920858279533326</v>
      </c>
      <c r="S231" s="40">
        <f t="shared" si="131"/>
        <v>68.144999999999996</v>
      </c>
      <c r="T231" s="40">
        <f t="shared" si="131"/>
        <v>147.5</v>
      </c>
      <c r="U231" s="40">
        <f t="shared" si="131"/>
        <v>3.6840335183348385</v>
      </c>
      <c r="V231" s="40">
        <f t="shared" si="131"/>
        <v>13.208638423183322</v>
      </c>
      <c r="W231" s="19">
        <f t="shared" si="131"/>
        <v>-2.5339007912277238</v>
      </c>
      <c r="X231" s="19">
        <f t="shared" si="131"/>
        <v>17.884059156463795</v>
      </c>
      <c r="Y231" s="19">
        <f t="shared" si="131"/>
        <v>14.439926773299977</v>
      </c>
      <c r="Z231" s="40">
        <f t="shared" si="131"/>
        <v>0.5</v>
      </c>
      <c r="AA231" s="19">
        <f t="shared" si="131"/>
        <v>-7.4999999999999997E-2</v>
      </c>
      <c r="AB231" s="19">
        <f t="shared" si="131"/>
        <v>0.36329178118763339</v>
      </c>
      <c r="AC231" s="40">
        <f t="shared" si="131"/>
        <v>1.9677054703091623</v>
      </c>
      <c r="AD231" s="19">
        <f t="shared" si="131"/>
        <v>-0.11078262315745245</v>
      </c>
      <c r="AE231" s="40">
        <f t="shared" si="131"/>
        <v>-0.57693988305731592</v>
      </c>
      <c r="AF231" s="19">
        <f t="shared" si="131"/>
        <v>-2.6587829557788586E-2</v>
      </c>
      <c r="AG231" s="40">
        <f t="shared" si="131"/>
        <v>-0.1384655719337558</v>
      </c>
      <c r="AH231" s="40">
        <f t="shared" si="131"/>
        <v>-1.0379526017310958</v>
      </c>
      <c r="AI231" s="40">
        <f t="shared" si="131"/>
        <v>0.35120984667538302</v>
      </c>
      <c r="AJ231" s="40">
        <f t="shared" si="131"/>
        <v>-15.477879375031071</v>
      </c>
      <c r="AK231" s="40">
        <f t="shared" si="131"/>
        <v>-14.088716926624592</v>
      </c>
      <c r="AL231" s="40">
        <f t="shared" si="131"/>
        <v>17.307119273406478</v>
      </c>
      <c r="AM231" s="40">
        <f t="shared" si="131"/>
        <v>16.269166671675382</v>
      </c>
      <c r="AN231" s="40">
        <f t="shared" si="131"/>
        <v>15.917956824999999</v>
      </c>
      <c r="AO231" s="40">
        <f t="shared" si="131"/>
        <v>1.8292398983754066</v>
      </c>
      <c r="AP231" s="17"/>
      <c r="AS231" s="16">
        <f t="shared" si="122"/>
        <v>1.8292398983754066</v>
      </c>
      <c r="AT231" s="16">
        <f t="shared" si="123"/>
        <v>17.307119273406478</v>
      </c>
      <c r="AU231" s="40">
        <f t="shared" si="128"/>
        <v>-15.477879375031071</v>
      </c>
    </row>
    <row r="232" spans="2:52" x14ac:dyDescent="0.2">
      <c r="B232" s="2">
        <v>6</v>
      </c>
      <c r="C232" s="63">
        <f t="shared" ca="1" si="124"/>
        <v>43851.383684953704</v>
      </c>
      <c r="D232" s="36">
        <f t="shared" si="125"/>
        <v>14.499999999999998</v>
      </c>
      <c r="E232" s="36">
        <f t="shared" si="126"/>
        <v>14.45</v>
      </c>
      <c r="F232" s="36">
        <f t="shared" ca="1" si="120"/>
        <v>1309.5744901548032</v>
      </c>
      <c r="G232" s="36">
        <f t="shared" ref="G232:AO232" si="132">IF($C$20="doyle",G83,IF($C$20="scribner",G132,G182))</f>
        <v>2.140625</v>
      </c>
      <c r="H232" s="2">
        <f t="shared" si="132"/>
        <v>148.87712100775758</v>
      </c>
      <c r="I232" s="43">
        <f t="shared" si="132"/>
        <v>146.96871769121799</v>
      </c>
      <c r="J232" s="43">
        <f t="shared" si="132"/>
        <v>55.172461035118239</v>
      </c>
      <c r="K232" s="43">
        <f t="shared" si="132"/>
        <v>54.769457380995732</v>
      </c>
      <c r="L232" s="43">
        <f t="shared" si="132"/>
        <v>93.704659972639348</v>
      </c>
      <c r="M232" s="43">
        <f t="shared" si="132"/>
        <v>92.199260310222257</v>
      </c>
      <c r="N232" s="40">
        <f t="shared" si="132"/>
        <v>214.375</v>
      </c>
      <c r="O232" s="40">
        <f t="shared" si="132"/>
        <v>153.125</v>
      </c>
      <c r="P232" s="40">
        <f t="shared" si="132"/>
        <v>11.827596334403474</v>
      </c>
      <c r="Q232" s="40">
        <f t="shared" si="132"/>
        <v>14.348526058310402</v>
      </c>
      <c r="R232" s="19">
        <f t="shared" si="132"/>
        <v>-3.9264183589070809</v>
      </c>
      <c r="S232" s="40">
        <f t="shared" si="132"/>
        <v>70.743750000000006</v>
      </c>
      <c r="T232" s="40">
        <f t="shared" si="132"/>
        <v>153.125</v>
      </c>
      <c r="U232" s="40">
        <f t="shared" si="132"/>
        <v>3.8745968005968172</v>
      </c>
      <c r="V232" s="40">
        <f t="shared" si="132"/>
        <v>14.118011735002785</v>
      </c>
      <c r="W232" s="19">
        <f t="shared" si="132"/>
        <v>-2.6988912803399399</v>
      </c>
      <c r="X232" s="19">
        <f t="shared" si="132"/>
        <v>18.28763486275869</v>
      </c>
      <c r="Y232" s="19">
        <f t="shared" si="132"/>
        <v>14.788612676718992</v>
      </c>
      <c r="Z232" s="40">
        <f t="shared" si="132"/>
        <v>0.5</v>
      </c>
      <c r="AA232" s="19">
        <f t="shared" si="132"/>
        <v>-7.4999999999999997E-2</v>
      </c>
      <c r="AB232" s="19">
        <f t="shared" si="132"/>
        <v>0.34931902037272439</v>
      </c>
      <c r="AC232" s="40">
        <f t="shared" si="132"/>
        <v>2.3170244906818867</v>
      </c>
      <c r="AD232" s="19">
        <f t="shared" si="132"/>
        <v>-0.1084943780922344</v>
      </c>
      <c r="AE232" s="40">
        <f t="shared" si="132"/>
        <v>-0.68543426114955031</v>
      </c>
      <c r="AF232" s="19">
        <f t="shared" si="132"/>
        <v>-2.6038650742136252E-2</v>
      </c>
      <c r="AG232" s="40">
        <f t="shared" si="132"/>
        <v>-0.16450422267589204</v>
      </c>
      <c r="AH232" s="40">
        <f t="shared" si="132"/>
        <v>-0.66106765688415337</v>
      </c>
      <c r="AI232" s="40">
        <f t="shared" si="132"/>
        <v>1.0231761197249885</v>
      </c>
      <c r="AJ232" s="40">
        <f t="shared" si="132"/>
        <v>-15.449680333603146</v>
      </c>
      <c r="AK232" s="40">
        <f t="shared" si="132"/>
        <v>-13.765436556994004</v>
      </c>
      <c r="AL232" s="40">
        <f t="shared" si="132"/>
        <v>17.602200601609141</v>
      </c>
      <c r="AM232" s="40">
        <f t="shared" si="132"/>
        <v>16.941132944724988</v>
      </c>
      <c r="AN232" s="40">
        <f t="shared" si="132"/>
        <v>15.917956824999999</v>
      </c>
      <c r="AO232" s="40">
        <f t="shared" si="132"/>
        <v>2.1525202680059947</v>
      </c>
      <c r="AP232" s="17"/>
      <c r="AS232" s="16">
        <f t="shared" si="122"/>
        <v>2.1525202680059947</v>
      </c>
      <c r="AT232" s="16">
        <f t="shared" si="123"/>
        <v>17.602200601609141</v>
      </c>
      <c r="AU232" s="40">
        <f t="shared" si="128"/>
        <v>-15.449680333603146</v>
      </c>
    </row>
    <row r="233" spans="2:52" x14ac:dyDescent="0.2">
      <c r="B233" s="2">
        <v>7</v>
      </c>
      <c r="C233" s="63">
        <f t="shared" ca="1" si="124"/>
        <v>44216.383684953704</v>
      </c>
      <c r="D233" s="36">
        <f t="shared" si="125"/>
        <v>14.599999999999998</v>
      </c>
      <c r="E233" s="36">
        <f t="shared" si="126"/>
        <v>14.54</v>
      </c>
      <c r="F233" s="36">
        <f t="shared" ca="1" si="120"/>
        <v>1320.9807401548032</v>
      </c>
      <c r="G233" s="36">
        <f t="shared" ref="G233:AO233" si="133">IF($C$20="doyle",G84,IF($C$20="scribner",G133,G183))</f>
        <v>2.1687500000000002</v>
      </c>
      <c r="H233" s="2">
        <f t="shared" si="133"/>
        <v>152.6696932086104</v>
      </c>
      <c r="I233" s="43">
        <f t="shared" si="133"/>
        <v>150.35272333897342</v>
      </c>
      <c r="J233" s="43">
        <f t="shared" si="133"/>
        <v>55.958109012049576</v>
      </c>
      <c r="K233" s="43">
        <f t="shared" si="133"/>
        <v>55.474083426459615</v>
      </c>
      <c r="L233" s="43">
        <f t="shared" si="133"/>
        <v>96.711584196560821</v>
      </c>
      <c r="M233" s="43">
        <f t="shared" si="133"/>
        <v>94.878639912513805</v>
      </c>
      <c r="N233" s="40">
        <f t="shared" si="133"/>
        <v>222.25</v>
      </c>
      <c r="O233" s="40">
        <f t="shared" si="133"/>
        <v>158.75</v>
      </c>
      <c r="P233" s="40">
        <f t="shared" si="133"/>
        <v>12.436689727928018</v>
      </c>
      <c r="Q233" s="40">
        <f t="shared" si="133"/>
        <v>15.35296399120403</v>
      </c>
      <c r="R233" s="19">
        <f t="shared" si="133"/>
        <v>-4.1684480578698073</v>
      </c>
      <c r="S233" s="40">
        <f t="shared" si="133"/>
        <v>73.342500000000001</v>
      </c>
      <c r="T233" s="40">
        <f t="shared" si="133"/>
        <v>158.75</v>
      </c>
      <c r="U233" s="40">
        <f t="shared" si="133"/>
        <v>4.0686079637051149</v>
      </c>
      <c r="V233" s="40">
        <f t="shared" si="133"/>
        <v>15.061984086111567</v>
      </c>
      <c r="W233" s="19">
        <f t="shared" si="133"/>
        <v>-2.869588807472502</v>
      </c>
      <c r="X233" s="19">
        <f t="shared" si="133"/>
        <v>18.6681819493547</v>
      </c>
      <c r="Y233" s="19">
        <f t="shared" si="133"/>
        <v>15.119184782787766</v>
      </c>
      <c r="Z233" s="40">
        <f t="shared" si="133"/>
        <v>0.5</v>
      </c>
      <c r="AA233" s="19">
        <f t="shared" si="133"/>
        <v>-7.4999999999999997E-2</v>
      </c>
      <c r="AB233" s="19">
        <f t="shared" si="133"/>
        <v>0.33588367343531189</v>
      </c>
      <c r="AC233" s="40">
        <f t="shared" si="133"/>
        <v>2.6529081641171985</v>
      </c>
      <c r="AD233" s="19">
        <f t="shared" si="133"/>
        <v>-0.10621827225813157</v>
      </c>
      <c r="AE233" s="40">
        <f t="shared" si="133"/>
        <v>-0.79165253340768182</v>
      </c>
      <c r="AF233" s="19">
        <f t="shared" si="133"/>
        <v>-2.5492385341951574E-2</v>
      </c>
      <c r="AG233" s="40">
        <f t="shared" si="133"/>
        <v>-0.18999660801784363</v>
      </c>
      <c r="AH233" s="40">
        <f t="shared" si="133"/>
        <v>-0.29443307705989596</v>
      </c>
      <c r="AI233" s="40">
        <f t="shared" si="133"/>
        <v>1.6641395138871236</v>
      </c>
      <c r="AJ233" s="40">
        <f t="shared" si="133"/>
        <v>-15.413617859847664</v>
      </c>
      <c r="AK233" s="40">
        <f t="shared" si="133"/>
        <v>-13.455045268900644</v>
      </c>
      <c r="AL233" s="40">
        <f t="shared" si="133"/>
        <v>17.876529415947019</v>
      </c>
      <c r="AM233" s="40">
        <f t="shared" si="133"/>
        <v>17.582096338887123</v>
      </c>
      <c r="AN233" s="40">
        <f t="shared" si="133"/>
        <v>15.917956824999999</v>
      </c>
      <c r="AO233" s="40">
        <f t="shared" si="133"/>
        <v>2.4629115560993551</v>
      </c>
      <c r="AP233" s="17"/>
      <c r="AS233" s="16">
        <f t="shared" si="122"/>
        <v>2.4629115560993551</v>
      </c>
      <c r="AT233" s="16">
        <f t="shared" si="123"/>
        <v>17.876529415947019</v>
      </c>
      <c r="AU233" s="40">
        <f t="shared" si="128"/>
        <v>-15.413617859847664</v>
      </c>
    </row>
    <row r="234" spans="2:52" x14ac:dyDescent="0.2">
      <c r="B234" s="2">
        <v>8</v>
      </c>
      <c r="C234" s="63">
        <f t="shared" ca="1" si="124"/>
        <v>44581.383684953704</v>
      </c>
      <c r="D234" s="36">
        <f t="shared" si="125"/>
        <v>14.699999999999998</v>
      </c>
      <c r="E234" s="36">
        <f t="shared" si="126"/>
        <v>14.629999999999999</v>
      </c>
      <c r="F234" s="36">
        <f t="shared" ca="1" si="120"/>
        <v>1332.3869901548032</v>
      </c>
      <c r="G234" s="36">
        <f t="shared" ref="G234:AO234" si="134">IF($C$20="doyle",G85,IF($C$20="scribner",G134,G184))</f>
        <v>2.1968749999999999</v>
      </c>
      <c r="H234" s="2">
        <f t="shared" si="134"/>
        <v>156.49748149977341</v>
      </c>
      <c r="I234" s="43">
        <f t="shared" si="134"/>
        <v>153.7632516131813</v>
      </c>
      <c r="J234" s="43">
        <f t="shared" si="134"/>
        <v>56.740657383728909</v>
      </c>
      <c r="K234" s="43">
        <f t="shared" si="134"/>
        <v>56.175516279827875</v>
      </c>
      <c r="L234" s="43">
        <f t="shared" si="134"/>
        <v>99.756824116044498</v>
      </c>
      <c r="M234" s="43">
        <f t="shared" si="134"/>
        <v>97.587735333353422</v>
      </c>
      <c r="N234" s="40">
        <f t="shared" si="134"/>
        <v>230.125</v>
      </c>
      <c r="O234" s="40">
        <f t="shared" si="134"/>
        <v>164.375</v>
      </c>
      <c r="P234" s="40">
        <f t="shared" si="134"/>
        <v>13.057443780430615</v>
      </c>
      <c r="Q234" s="40">
        <f t="shared" si="134"/>
        <v>16.397527964074815</v>
      </c>
      <c r="R234" s="19">
        <f t="shared" si="134"/>
        <v>-4.4182457616758137</v>
      </c>
      <c r="S234" s="40">
        <f t="shared" si="134"/>
        <v>75.941249999999997</v>
      </c>
      <c r="T234" s="40">
        <f t="shared" si="134"/>
        <v>164.375</v>
      </c>
      <c r="U234" s="40">
        <f t="shared" si="134"/>
        <v>4.2660389256854785</v>
      </c>
      <c r="V234" s="40">
        <f t="shared" si="134"/>
        <v>16.040983995419968</v>
      </c>
      <c r="W234" s="19">
        <f t="shared" si="134"/>
        <v>-3.0460534381658166</v>
      </c>
      <c r="X234" s="19">
        <f t="shared" si="134"/>
        <v>19.025854058611159</v>
      </c>
      <c r="Y234" s="19">
        <f t="shared" si="134"/>
        <v>15.431668450850625</v>
      </c>
      <c r="Z234" s="40">
        <f t="shared" si="134"/>
        <v>0.5</v>
      </c>
      <c r="AA234" s="19">
        <f t="shared" si="134"/>
        <v>-7.4999999999999997E-2</v>
      </c>
      <c r="AB234" s="19">
        <f t="shared" si="134"/>
        <v>0.32296507061087687</v>
      </c>
      <c r="AC234" s="40">
        <f t="shared" si="134"/>
        <v>2.9758732347280752</v>
      </c>
      <c r="AD234" s="19">
        <f t="shared" si="134"/>
        <v>-0.10395675684604226</v>
      </c>
      <c r="AE234" s="40">
        <f t="shared" si="134"/>
        <v>-0.89560929025372404</v>
      </c>
      <c r="AF234" s="19">
        <f t="shared" si="134"/>
        <v>-2.4949621643050136E-2</v>
      </c>
      <c r="AG234" s="40">
        <f t="shared" si="134"/>
        <v>-0.21494622966089377</v>
      </c>
      <c r="AH234" s="40">
        <f t="shared" si="134"/>
        <v>6.2350687560371654E-2</v>
      </c>
      <c r="AI234" s="40">
        <f t="shared" si="134"/>
        <v>2.2746386309178082</v>
      </c>
      <c r="AJ234" s="40">
        <f t="shared" si="134"/>
        <v>-15.369317763290255</v>
      </c>
      <c r="AK234" s="40">
        <f t="shared" si="134"/>
        <v>-13.157029819932818</v>
      </c>
      <c r="AL234" s="40">
        <f t="shared" si="134"/>
        <v>18.130244768357436</v>
      </c>
      <c r="AM234" s="40">
        <f t="shared" si="134"/>
        <v>18.192595455917807</v>
      </c>
      <c r="AN234" s="40">
        <f t="shared" si="134"/>
        <v>15.917956824999999</v>
      </c>
      <c r="AO234" s="40">
        <f t="shared" si="134"/>
        <v>2.7609270050671815</v>
      </c>
      <c r="AP234" s="17"/>
      <c r="AS234" s="16">
        <f t="shared" si="122"/>
        <v>2.7609270050671815</v>
      </c>
      <c r="AT234" s="16">
        <f t="shared" si="123"/>
        <v>18.130244768357436</v>
      </c>
      <c r="AU234" s="40">
        <f t="shared" si="128"/>
        <v>-15.369317763290255</v>
      </c>
    </row>
    <row r="235" spans="2:52" x14ac:dyDescent="0.2">
      <c r="B235" s="2">
        <v>9</v>
      </c>
      <c r="C235" s="63">
        <f t="shared" ca="1" si="124"/>
        <v>44946.383684953704</v>
      </c>
      <c r="D235" s="36">
        <f t="shared" si="125"/>
        <v>14.799999999999997</v>
      </c>
      <c r="E235" s="36">
        <f t="shared" si="126"/>
        <v>14.719999999999999</v>
      </c>
      <c r="F235" s="36">
        <f t="shared" ca="1" si="120"/>
        <v>1343.7932401548032</v>
      </c>
      <c r="G235" s="36">
        <f t="shared" ref="G235:AO235" si="135">IF($C$20="doyle",G86,IF($C$20="scribner",G135,G185))</f>
        <v>2.2250000000000001</v>
      </c>
      <c r="H235" s="2">
        <f t="shared" si="135"/>
        <v>160.35982352871403</v>
      </c>
      <c r="I235" s="43">
        <f t="shared" si="135"/>
        <v>157.19976024278202</v>
      </c>
      <c r="J235" s="43">
        <f t="shared" si="135"/>
        <v>57.520042484405849</v>
      </c>
      <c r="K235" s="43">
        <f t="shared" si="135"/>
        <v>56.873711196961118</v>
      </c>
      <c r="L235" s="43">
        <f t="shared" si="135"/>
        <v>102.83978104430818</v>
      </c>
      <c r="M235" s="43">
        <f t="shared" si="135"/>
        <v>100.32604904582089</v>
      </c>
      <c r="N235" s="40">
        <f t="shared" si="135"/>
        <v>238</v>
      </c>
      <c r="O235" s="40">
        <f t="shared" si="135"/>
        <v>170</v>
      </c>
      <c r="P235" s="40">
        <f t="shared" si="135"/>
        <v>13.689770111288592</v>
      </c>
      <c r="Q235" s="40">
        <f t="shared" si="135"/>
        <v>17.482762777532393</v>
      </c>
      <c r="R235" s="19">
        <f t="shared" si="135"/>
        <v>-4.6758799333231478</v>
      </c>
      <c r="S235" s="40">
        <f t="shared" si="135"/>
        <v>78.539999999999992</v>
      </c>
      <c r="T235" s="40">
        <f t="shared" si="135"/>
        <v>170</v>
      </c>
      <c r="U235" s="40">
        <f t="shared" si="135"/>
        <v>4.4668612774093264</v>
      </c>
      <c r="V235" s="40">
        <f t="shared" si="135"/>
        <v>17.055428337789554</v>
      </c>
      <c r="W235" s="19">
        <f t="shared" si="135"/>
        <v>-3.2283434422798316</v>
      </c>
      <c r="X235" s="19">
        <f t="shared" si="135"/>
        <v>19.360844779919134</v>
      </c>
      <c r="Y235" s="19">
        <f t="shared" si="135"/>
        <v>15.726126211041736</v>
      </c>
      <c r="Z235" s="40">
        <f t="shared" si="135"/>
        <v>0.5</v>
      </c>
      <c r="AA235" s="19">
        <f t="shared" si="135"/>
        <v>-7.4999999999999997E-2</v>
      </c>
      <c r="AB235" s="19">
        <f t="shared" si="135"/>
        <v>0.31054333712584309</v>
      </c>
      <c r="AC235" s="40">
        <f t="shared" si="135"/>
        <v>3.2864165718539184</v>
      </c>
      <c r="AD235" s="19">
        <f t="shared" si="135"/>
        <v>-0.10171207653627613</v>
      </c>
      <c r="AE235" s="40">
        <f t="shared" si="135"/>
        <v>-0.99732136679000016</v>
      </c>
      <c r="AF235" s="19">
        <f t="shared" si="135"/>
        <v>-2.4410898368706271E-2</v>
      </c>
      <c r="AG235" s="40">
        <f t="shared" si="135"/>
        <v>-0.23935712802960005</v>
      </c>
      <c r="AH235" s="40">
        <f t="shared" si="135"/>
        <v>0.40966224173692112</v>
      </c>
      <c r="AI235" s="40">
        <f t="shared" si="135"/>
        <v>2.8552288298660553</v>
      </c>
      <c r="AJ235" s="40">
        <f t="shared" si="135"/>
        <v>-15.316463969304815</v>
      </c>
      <c r="AK235" s="40">
        <f t="shared" si="135"/>
        <v>-12.870897381175681</v>
      </c>
      <c r="AL235" s="40">
        <f t="shared" si="135"/>
        <v>18.363523413129133</v>
      </c>
      <c r="AM235" s="40">
        <f t="shared" si="135"/>
        <v>18.773185654866055</v>
      </c>
      <c r="AN235" s="40">
        <f t="shared" si="135"/>
        <v>15.917956824999999</v>
      </c>
      <c r="AO235" s="40">
        <f t="shared" si="135"/>
        <v>3.0470594438243186</v>
      </c>
      <c r="AP235" s="17"/>
      <c r="AS235" s="16">
        <f t="shared" si="122"/>
        <v>3.0470594438243186</v>
      </c>
      <c r="AT235" s="16">
        <f t="shared" si="123"/>
        <v>18.363523413129133</v>
      </c>
      <c r="AU235" s="40">
        <f t="shared" si="128"/>
        <v>-15.316463969304815</v>
      </c>
    </row>
    <row r="236" spans="2:52" x14ac:dyDescent="0.2">
      <c r="B236" s="2">
        <v>10</v>
      </c>
      <c r="C236" s="63">
        <f t="shared" ca="1" si="124"/>
        <v>45311.383684953704</v>
      </c>
      <c r="D236" s="36">
        <f t="shared" si="125"/>
        <v>14.899999999999997</v>
      </c>
      <c r="E236" s="36">
        <f t="shared" si="126"/>
        <v>14.809999999999999</v>
      </c>
      <c r="F236" s="36">
        <f t="shared" ca="1" si="120"/>
        <v>1355.1994901548032</v>
      </c>
      <c r="G236" s="36">
        <f t="shared" ref="G236:AO236" si="136">IF($C$20="doyle",G87,IF($C$20="scribner",G136,G186))</f>
        <v>2.2531249999999998</v>
      </c>
      <c r="H236" s="2">
        <f t="shared" si="136"/>
        <v>164.25605396767179</v>
      </c>
      <c r="I236" s="43">
        <f t="shared" si="136"/>
        <v>160.66170621295078</v>
      </c>
      <c r="J236" s="43">
        <f t="shared" si="136"/>
        <v>58.296203168757415</v>
      </c>
      <c r="K236" s="43">
        <f t="shared" si="136"/>
        <v>57.568625407014963</v>
      </c>
      <c r="L236" s="43">
        <f t="shared" si="136"/>
        <v>105.95985079891437</v>
      </c>
      <c r="M236" s="43">
        <f t="shared" si="136"/>
        <v>103.09308080593581</v>
      </c>
      <c r="N236" s="40">
        <f t="shared" si="136"/>
        <v>245.875</v>
      </c>
      <c r="O236" s="40">
        <f t="shared" si="136"/>
        <v>175.625</v>
      </c>
      <c r="P236" s="40">
        <f t="shared" si="136"/>
        <v>14.333578954118231</v>
      </c>
      <c r="Q236" s="40">
        <f t="shared" si="136"/>
        <v>18.609198796559337</v>
      </c>
      <c r="R236" s="19">
        <f t="shared" si="136"/>
        <v>-4.9414166626016343</v>
      </c>
      <c r="S236" s="40">
        <f t="shared" si="136"/>
        <v>81.138750000000002</v>
      </c>
      <c r="T236" s="40">
        <f t="shared" si="136"/>
        <v>175.625</v>
      </c>
      <c r="U236" s="40">
        <f t="shared" si="136"/>
        <v>4.6710463047434354</v>
      </c>
      <c r="V236" s="40">
        <f t="shared" si="136"/>
        <v>18.105722316542476</v>
      </c>
      <c r="W236" s="19">
        <f t="shared" si="136"/>
        <v>-3.4165152931928864</v>
      </c>
      <c r="X236" s="19">
        <f t="shared" si="136"/>
        <v>19.673384878635357</v>
      </c>
      <c r="Y236" s="19">
        <f t="shared" si="136"/>
        <v>16.002655512663608</v>
      </c>
      <c r="Z236" s="40">
        <f t="shared" si="136"/>
        <v>0.5</v>
      </c>
      <c r="AA236" s="19">
        <f t="shared" si="136"/>
        <v>-7.4999999999999997E-2</v>
      </c>
      <c r="AB236" s="19">
        <f t="shared" si="136"/>
        <v>0.29859936262100295</v>
      </c>
      <c r="AC236" s="40">
        <f t="shared" si="136"/>
        <v>3.5850159344749213</v>
      </c>
      <c r="AD236" s="19">
        <f t="shared" si="136"/>
        <v>-9.9486281757962397E-2</v>
      </c>
      <c r="AE236" s="40">
        <f t="shared" si="136"/>
        <v>-1.0968076485479625</v>
      </c>
      <c r="AF236" s="19">
        <f t="shared" si="136"/>
        <v>-2.3876707621910971E-2</v>
      </c>
      <c r="AG236" s="40">
        <f t="shared" si="136"/>
        <v>-0.26323383565151104</v>
      </c>
      <c r="AH236" s="40">
        <f t="shared" si="136"/>
        <v>0.7478603813996223</v>
      </c>
      <c r="AI236" s="40">
        <f t="shared" si="136"/>
        <v>3.4064807864870179</v>
      </c>
      <c r="AJ236" s="40">
        <f t="shared" si="136"/>
        <v>-15.254795131263984</v>
      </c>
      <c r="AK236" s="40">
        <f t="shared" si="136"/>
        <v>-12.596174726176589</v>
      </c>
      <c r="AL236" s="40">
        <f t="shared" si="136"/>
        <v>18.576577230087395</v>
      </c>
      <c r="AM236" s="40">
        <f t="shared" si="136"/>
        <v>19.324437611487017</v>
      </c>
      <c r="AN236" s="40">
        <f t="shared" si="136"/>
        <v>15.917956824999999</v>
      </c>
      <c r="AO236" s="40">
        <f t="shared" si="136"/>
        <v>3.3217820988234101</v>
      </c>
      <c r="AP236" s="17"/>
      <c r="AS236" s="16">
        <f t="shared" si="122"/>
        <v>3.3217820988234101</v>
      </c>
      <c r="AT236" s="16">
        <f t="shared" si="123"/>
        <v>18.576577230087395</v>
      </c>
      <c r="AU236" s="40">
        <f t="shared" si="128"/>
        <v>-15.254795131263984</v>
      </c>
    </row>
    <row r="237" spans="2:52" x14ac:dyDescent="0.2">
      <c r="B237" s="2">
        <v>11</v>
      </c>
      <c r="C237" s="63">
        <f t="shared" ca="1" si="124"/>
        <v>45676.383684953704</v>
      </c>
      <c r="D237" s="36">
        <f t="shared" si="125"/>
        <v>14.999999999999996</v>
      </c>
      <c r="E237" s="36">
        <f t="shared" si="126"/>
        <v>14.899999999999999</v>
      </c>
      <c r="F237" s="36">
        <f t="shared" ca="1" si="120"/>
        <v>1366.6057401548032</v>
      </c>
      <c r="G237" s="36">
        <f t="shared" ref="G237:AO237" si="137">IF($C$20="doyle",G88,IF($C$20="scribner",G137,G187))</f>
        <v>2.28125</v>
      </c>
      <c r="H237" s="2">
        <f t="shared" si="137"/>
        <v>168.18550492716855</v>
      </c>
      <c r="I237" s="43">
        <f t="shared" si="137"/>
        <v>164.14854603493461</v>
      </c>
      <c r="J237" s="43">
        <f t="shared" si="137"/>
        <v>59.069080749196708</v>
      </c>
      <c r="K237" s="43">
        <f t="shared" si="137"/>
        <v>58.26021806234256</v>
      </c>
      <c r="L237" s="43">
        <f t="shared" si="137"/>
        <v>109.11642417797185</v>
      </c>
      <c r="M237" s="43">
        <f t="shared" si="137"/>
        <v>105.88832797259205</v>
      </c>
      <c r="N237" s="40">
        <f t="shared" si="137"/>
        <v>253.75</v>
      </c>
      <c r="O237" s="40">
        <f t="shared" si="137"/>
        <v>181.25</v>
      </c>
      <c r="P237" s="40">
        <f t="shared" si="137"/>
        <v>14.988779240108663</v>
      </c>
      <c r="Q237" s="40">
        <f t="shared" si="137"/>
        <v>19.777351882257399</v>
      </c>
      <c r="R237" s="19">
        <f t="shared" si="137"/>
        <v>-5.2149196683549093</v>
      </c>
      <c r="S237" s="40">
        <f t="shared" si="137"/>
        <v>83.737499999999997</v>
      </c>
      <c r="T237" s="40">
        <f t="shared" si="137"/>
        <v>181.25</v>
      </c>
      <c r="U237" s="40">
        <f t="shared" si="137"/>
        <v>4.8785650099954099</v>
      </c>
      <c r="V237" s="40">
        <f t="shared" si="137"/>
        <v>19.19225944503231</v>
      </c>
      <c r="W237" s="19">
        <f t="shared" si="137"/>
        <v>-3.6106236682541577</v>
      </c>
      <c r="X237" s="19">
        <f t="shared" si="137"/>
        <v>19.963739603724463</v>
      </c>
      <c r="Y237" s="19">
        <f t="shared" si="137"/>
        <v>16.261386515912506</v>
      </c>
      <c r="Z237" s="40">
        <f t="shared" si="137"/>
        <v>0.5</v>
      </c>
      <c r="AA237" s="19">
        <f t="shared" si="137"/>
        <v>-7.4999999999999997E-2</v>
      </c>
      <c r="AB237" s="19">
        <f t="shared" si="137"/>
        <v>0.28711477175096439</v>
      </c>
      <c r="AC237" s="40">
        <f t="shared" si="137"/>
        <v>3.8721307062258856</v>
      </c>
      <c r="AD237" s="19">
        <f t="shared" si="137"/>
        <v>-9.7281240310914979E-2</v>
      </c>
      <c r="AE237" s="40">
        <f t="shared" si="137"/>
        <v>-1.1940888888588774</v>
      </c>
      <c r="AF237" s="19">
        <f t="shared" si="137"/>
        <v>-2.3347497674619595E-2</v>
      </c>
      <c r="AG237" s="40">
        <f t="shared" si="137"/>
        <v>-0.28658133332613062</v>
      </c>
      <c r="AH237" s="40">
        <f t="shared" si="137"/>
        <v>1.0772851739466773</v>
      </c>
      <c r="AI237" s="40">
        <f t="shared" si="137"/>
        <v>3.9289790638122621</v>
      </c>
      <c r="AJ237" s="40">
        <f t="shared" si="137"/>
        <v>-15.184101341965828</v>
      </c>
      <c r="AK237" s="40">
        <f t="shared" si="137"/>
        <v>-12.332407452100245</v>
      </c>
      <c r="AL237" s="40">
        <f t="shared" si="137"/>
        <v>18.769650714865584</v>
      </c>
      <c r="AM237" s="40">
        <f t="shared" si="137"/>
        <v>19.846935888812261</v>
      </c>
      <c r="AN237" s="40">
        <f t="shared" si="137"/>
        <v>15.917956824999999</v>
      </c>
      <c r="AO237" s="40">
        <f t="shared" si="137"/>
        <v>3.5855493728997549</v>
      </c>
      <c r="AP237" s="17"/>
      <c r="AS237" s="16">
        <f t="shared" si="122"/>
        <v>3.5855493728997549</v>
      </c>
      <c r="AT237" s="16">
        <f t="shared" si="123"/>
        <v>18.769650714865584</v>
      </c>
      <c r="AU237" s="40">
        <f t="shared" si="128"/>
        <v>-15.184101341965828</v>
      </c>
    </row>
    <row r="238" spans="2:52" x14ac:dyDescent="0.2">
      <c r="B238" s="2">
        <v>12</v>
      </c>
      <c r="C238" s="63">
        <f t="shared" ca="1" si="124"/>
        <v>46041.383684953704</v>
      </c>
      <c r="D238" s="36">
        <f t="shared" si="125"/>
        <v>15.099999999999996</v>
      </c>
      <c r="E238" s="36">
        <f t="shared" si="126"/>
        <v>14.989999999999998</v>
      </c>
      <c r="F238" s="36">
        <f t="shared" ca="1" si="120"/>
        <v>1378.0119901548032</v>
      </c>
      <c r="G238" s="36">
        <f t="shared" ref="G238:AO238" si="138">IF($C$20="doyle",G89,IF($C$20="scribner",G138,G188))</f>
        <v>2.3093750000000002</v>
      </c>
      <c r="H238" s="2">
        <f t="shared" si="138"/>
        <v>172.14750635437579</v>
      </c>
      <c r="I238" s="43">
        <f t="shared" si="138"/>
        <v>167.65973600555355</v>
      </c>
      <c r="J238" s="43">
        <f t="shared" si="138"/>
        <v>59.838618934554489</v>
      </c>
      <c r="K238" s="43">
        <f t="shared" si="138"/>
        <v>58.948450189502445</v>
      </c>
      <c r="L238" s="43">
        <f t="shared" si="138"/>
        <v>112.3088874198213</v>
      </c>
      <c r="M238" s="43">
        <f t="shared" si="138"/>
        <v>108.71128581605112</v>
      </c>
      <c r="N238" s="40">
        <f t="shared" si="138"/>
        <v>261.625</v>
      </c>
      <c r="O238" s="40">
        <f t="shared" si="138"/>
        <v>186.875</v>
      </c>
      <c r="P238" s="40">
        <f t="shared" si="138"/>
        <v>15.655278678752818</v>
      </c>
      <c r="Q238" s="40">
        <f t="shared" si="138"/>
        <v>20.987723336579108</v>
      </c>
      <c r="R238" s="19">
        <f t="shared" si="138"/>
        <v>-5.496450302299789</v>
      </c>
      <c r="S238" s="40">
        <f t="shared" si="138"/>
        <v>86.336250000000007</v>
      </c>
      <c r="T238" s="40">
        <f t="shared" si="138"/>
        <v>186.875</v>
      </c>
      <c r="U238" s="40">
        <f t="shared" si="138"/>
        <v>5.0893881326734309</v>
      </c>
      <c r="V238" s="40">
        <f t="shared" si="138"/>
        <v>20.315421536874553</v>
      </c>
      <c r="W238" s="19">
        <f t="shared" si="138"/>
        <v>-3.8107214504321973</v>
      </c>
      <c r="X238" s="19">
        <f t="shared" si="138"/>
        <v>20.232206076734915</v>
      </c>
      <c r="Y238" s="19">
        <f t="shared" si="138"/>
        <v>16.502479931332495</v>
      </c>
      <c r="Z238" s="40">
        <f t="shared" si="138"/>
        <v>0.5</v>
      </c>
      <c r="AA238" s="19">
        <f t="shared" si="138"/>
        <v>-7.4999999999999997E-2</v>
      </c>
      <c r="AB238" s="19">
        <f t="shared" si="138"/>
        <v>0.27607189591438885</v>
      </c>
      <c r="AC238" s="40">
        <f t="shared" si="138"/>
        <v>4.1482026021402749</v>
      </c>
      <c r="AD238" s="19">
        <f t="shared" si="138"/>
        <v>-9.5098648380862419E-2</v>
      </c>
      <c r="AE238" s="40">
        <f t="shared" si="138"/>
        <v>-1.2891875372397399</v>
      </c>
      <c r="AF238" s="19">
        <f t="shared" si="138"/>
        <v>-2.2823675611406975E-2</v>
      </c>
      <c r="AG238" s="40">
        <f t="shared" si="138"/>
        <v>-0.30940500893753758</v>
      </c>
      <c r="AH238" s="40">
        <f t="shared" si="138"/>
        <v>1.3982589850400551</v>
      </c>
      <c r="AI238" s="40">
        <f t="shared" si="138"/>
        <v>4.4233206995352301</v>
      </c>
      <c r="AJ238" s="40">
        <f t="shared" si="138"/>
        <v>-15.104220946292436</v>
      </c>
      <c r="AK238" s="40">
        <f t="shared" si="138"/>
        <v>-12.079159231797263</v>
      </c>
      <c r="AL238" s="40">
        <f t="shared" si="138"/>
        <v>18.943018539495174</v>
      </c>
      <c r="AM238" s="40">
        <f t="shared" si="138"/>
        <v>20.341277524535229</v>
      </c>
      <c r="AN238" s="40">
        <f t="shared" si="138"/>
        <v>15.917956824999999</v>
      </c>
      <c r="AO238" s="40">
        <f t="shared" si="138"/>
        <v>3.8387975932027372</v>
      </c>
      <c r="AP238" s="17"/>
      <c r="AS238" s="16">
        <f t="shared" si="122"/>
        <v>3.8387975932027372</v>
      </c>
      <c r="AT238" s="16">
        <f t="shared" si="123"/>
        <v>18.943018539495174</v>
      </c>
      <c r="AU238" s="40">
        <f t="shared" si="128"/>
        <v>-15.104220946292436</v>
      </c>
    </row>
    <row r="239" spans="2:52" x14ac:dyDescent="0.2">
      <c r="B239" s="2">
        <v>13</v>
      </c>
      <c r="C239" s="63">
        <f t="shared" ca="1" si="124"/>
        <v>46406.383684953704</v>
      </c>
      <c r="D239" s="36">
        <f t="shared" si="125"/>
        <v>15.199999999999996</v>
      </c>
      <c r="E239" s="36">
        <f t="shared" si="126"/>
        <v>15.079999999999998</v>
      </c>
      <c r="F239" s="36">
        <f t="shared" ca="1" si="120"/>
        <v>1389.4182401548032</v>
      </c>
      <c r="G239" s="36">
        <f t="shared" ref="G239:AO239" si="139">IF($C$20="doyle",G90,IF($C$20="scribner",G139,G189))</f>
        <v>2.3374999999999999</v>
      </c>
      <c r="H239" s="2">
        <f t="shared" si="139"/>
        <v>176.14138641677286</v>
      </c>
      <c r="I239" s="43">
        <f t="shared" si="139"/>
        <v>171.19473245666595</v>
      </c>
      <c r="J239" s="43">
        <f t="shared" si="139"/>
        <v>60.604763770105222</v>
      </c>
      <c r="K239" s="43">
        <f t="shared" si="139"/>
        <v>59.633284641348411</v>
      </c>
      <c r="L239" s="43">
        <f t="shared" si="139"/>
        <v>115.53662264666764</v>
      </c>
      <c r="M239" s="43">
        <f t="shared" si="139"/>
        <v>111.56144781531754</v>
      </c>
      <c r="N239" s="40">
        <f t="shared" si="139"/>
        <v>269.5</v>
      </c>
      <c r="O239" s="40">
        <f t="shared" si="139"/>
        <v>192.5</v>
      </c>
      <c r="P239" s="40">
        <f t="shared" si="139"/>
        <v>16.332983836043358</v>
      </c>
      <c r="Q239" s="40">
        <f t="shared" si="139"/>
        <v>22.24079985948352</v>
      </c>
      <c r="R239" s="19">
        <f t="shared" si="139"/>
        <v>-5.7860675543290316</v>
      </c>
      <c r="S239" s="40">
        <f t="shared" si="139"/>
        <v>88.935000000000002</v>
      </c>
      <c r="T239" s="40">
        <f t="shared" si="139"/>
        <v>192.5</v>
      </c>
      <c r="U239" s="40">
        <f t="shared" si="139"/>
        <v>5.3034861695783206</v>
      </c>
      <c r="V239" s="40">
        <f t="shared" si="139"/>
        <v>21.475578704448626</v>
      </c>
      <c r="W239" s="19">
        <f t="shared" si="139"/>
        <v>-4.0168597311040415</v>
      </c>
      <c r="X239" s="19">
        <f t="shared" si="139"/>
        <v>20.479110764260856</v>
      </c>
      <c r="Y239" s="19">
        <f t="shared" si="139"/>
        <v>16.726124910830389</v>
      </c>
      <c r="Z239" s="40">
        <f t="shared" si="139"/>
        <v>0.5</v>
      </c>
      <c r="AA239" s="19">
        <f t="shared" si="139"/>
        <v>-7.4999999999999997E-2</v>
      </c>
      <c r="AB239" s="19">
        <f t="shared" si="139"/>
        <v>0.26545374607152766</v>
      </c>
      <c r="AC239" s="40">
        <f t="shared" si="139"/>
        <v>4.413656348211803</v>
      </c>
      <c r="AD239" s="19">
        <f t="shared" si="139"/>
        <v>-9.2940040977513683E-2</v>
      </c>
      <c r="AE239" s="40">
        <f t="shared" si="139"/>
        <v>-1.3821275782172535</v>
      </c>
      <c r="AF239" s="19">
        <f t="shared" si="139"/>
        <v>-2.2305609834603283E-2</v>
      </c>
      <c r="AG239" s="40">
        <f t="shared" si="139"/>
        <v>-0.33171061877214086</v>
      </c>
      <c r="AH239" s="40">
        <f t="shared" si="139"/>
        <v>1.7110874542264476</v>
      </c>
      <c r="AI239" s="40">
        <f t="shared" si="139"/>
        <v>4.8901138152700501</v>
      </c>
      <c r="AJ239" s="40">
        <f t="shared" si="139"/>
        <v>-15.01503745660394</v>
      </c>
      <c r="AK239" s="40">
        <f t="shared" si="139"/>
        <v>-11.836011095560337</v>
      </c>
      <c r="AL239" s="40">
        <f t="shared" si="139"/>
        <v>19.096983186043602</v>
      </c>
      <c r="AM239" s="40">
        <f t="shared" si="139"/>
        <v>20.808070640270049</v>
      </c>
      <c r="AN239" s="40">
        <f t="shared" si="139"/>
        <v>15.917956824999999</v>
      </c>
      <c r="AO239" s="40">
        <f t="shared" si="139"/>
        <v>4.0819457294396617</v>
      </c>
      <c r="AP239" s="17"/>
      <c r="AS239" s="16">
        <f t="shared" si="122"/>
        <v>4.0819457294396617</v>
      </c>
      <c r="AT239" s="16">
        <f t="shared" si="123"/>
        <v>19.096983186043602</v>
      </c>
      <c r="AU239" s="40">
        <f t="shared" si="128"/>
        <v>-15.01503745660394</v>
      </c>
    </row>
    <row r="240" spans="2:52" x14ac:dyDescent="0.2">
      <c r="B240" s="2">
        <v>14</v>
      </c>
      <c r="C240" s="63">
        <f t="shared" ca="1" si="124"/>
        <v>46771.383684953704</v>
      </c>
      <c r="D240" s="36">
        <f t="shared" si="125"/>
        <v>15.299999999999995</v>
      </c>
      <c r="E240" s="36">
        <f t="shared" si="126"/>
        <v>15.169999999999998</v>
      </c>
      <c r="F240" s="36">
        <f t="shared" ca="1" si="120"/>
        <v>1400.8244901548032</v>
      </c>
      <c r="G240" s="36">
        <f t="shared" ref="G240:AO240" si="140">IF($C$20="doyle",G91,IF($C$20="scribner",G140,G190))</f>
        <v>2.3656250000000001</v>
      </c>
      <c r="H240" s="2">
        <f t="shared" si="140"/>
        <v>180.16647187151602</v>
      </c>
      <c r="I240" s="43">
        <f t="shared" si="140"/>
        <v>174.75299199489055</v>
      </c>
      <c r="J240" s="43">
        <f t="shared" si="140"/>
        <v>61.367463578909238</v>
      </c>
      <c r="K240" s="43">
        <f t="shared" si="140"/>
        <v>60.314686050179027</v>
      </c>
      <c r="L240" s="43">
        <f t="shared" si="140"/>
        <v>118.79900829260679</v>
      </c>
      <c r="M240" s="43">
        <f t="shared" si="140"/>
        <v>114.43830594471152</v>
      </c>
      <c r="N240" s="40">
        <f t="shared" si="140"/>
        <v>277.375</v>
      </c>
      <c r="O240" s="40">
        <f t="shared" si="140"/>
        <v>198.125</v>
      </c>
      <c r="P240" s="40">
        <f t="shared" si="140"/>
        <v>17.021800210199949</v>
      </c>
      <c r="Q240" s="40">
        <f t="shared" si="140"/>
        <v>23.537053517972719</v>
      </c>
      <c r="R240" s="19">
        <f t="shared" si="140"/>
        <v>-6.0838280592258993</v>
      </c>
      <c r="S240" s="40">
        <f t="shared" si="140"/>
        <v>91.533749999999998</v>
      </c>
      <c r="T240" s="40">
        <f t="shared" si="140"/>
        <v>198.125</v>
      </c>
      <c r="U240" s="40">
        <f t="shared" si="140"/>
        <v>5.520829394245574</v>
      </c>
      <c r="V240" s="40">
        <f t="shared" si="140"/>
        <v>22.673089365295969</v>
      </c>
      <c r="W240" s="19">
        <f t="shared" si="140"/>
        <v>-4.2290878139312316</v>
      </c>
      <c r="X240" s="19">
        <f t="shared" si="140"/>
        <v>20.70480703559727</v>
      </c>
      <c r="Y240" s="19">
        <f t="shared" si="140"/>
        <v>16.932536993567016</v>
      </c>
      <c r="Z240" s="40">
        <f t="shared" si="140"/>
        <v>0.5</v>
      </c>
      <c r="AA240" s="19">
        <f t="shared" si="140"/>
        <v>-7.4999999999999997E-2</v>
      </c>
      <c r="AB240" s="19">
        <f t="shared" si="140"/>
        <v>0.25524398660723813</v>
      </c>
      <c r="AC240" s="40">
        <f t="shared" si="140"/>
        <v>4.6689003348190408</v>
      </c>
      <c r="AD240" s="19">
        <f t="shared" si="140"/>
        <v>-9.0806801823563321E-2</v>
      </c>
      <c r="AE240" s="40">
        <f t="shared" si="140"/>
        <v>-1.4729343800408168</v>
      </c>
      <c r="AF240" s="19">
        <f t="shared" si="140"/>
        <v>-2.179363243765519E-2</v>
      </c>
      <c r="AG240" s="40">
        <f t="shared" si="140"/>
        <v>-0.35350425120979606</v>
      </c>
      <c r="AH240" s="40">
        <f t="shared" si="140"/>
        <v>2.0160604216198053</v>
      </c>
      <c r="AI240" s="40">
        <f t="shared" si="140"/>
        <v>5.3299762521762606</v>
      </c>
      <c r="AJ240" s="40">
        <f t="shared" si="140"/>
        <v>-14.916476571947211</v>
      </c>
      <c r="AK240" s="40">
        <f t="shared" si="140"/>
        <v>-11.602560741390754</v>
      </c>
      <c r="AL240" s="40">
        <f t="shared" si="140"/>
        <v>19.231872655556455</v>
      </c>
      <c r="AM240" s="40">
        <f t="shared" si="140"/>
        <v>21.24793307717626</v>
      </c>
      <c r="AN240" s="40">
        <f t="shared" si="140"/>
        <v>15.917956824999999</v>
      </c>
      <c r="AO240" s="40">
        <f t="shared" si="140"/>
        <v>4.3153960836092446</v>
      </c>
      <c r="AP240" s="17"/>
      <c r="AS240" s="16">
        <f t="shared" si="122"/>
        <v>4.3153960836092446</v>
      </c>
      <c r="AT240" s="16">
        <f t="shared" si="123"/>
        <v>19.231872655556455</v>
      </c>
      <c r="AU240" s="40">
        <f t="shared" si="128"/>
        <v>-14.916476571947211</v>
      </c>
    </row>
    <row r="241" spans="2:47" x14ac:dyDescent="0.2">
      <c r="B241" s="2">
        <v>15</v>
      </c>
      <c r="C241" s="63">
        <f t="shared" ca="1" si="124"/>
        <v>47136.383684953704</v>
      </c>
      <c r="D241" s="36">
        <f t="shared" si="125"/>
        <v>15.399999999999995</v>
      </c>
      <c r="E241" s="36">
        <f t="shared" si="126"/>
        <v>15.259999999999998</v>
      </c>
      <c r="F241" s="36">
        <f t="shared" ca="1" si="120"/>
        <v>1412.2307401548032</v>
      </c>
      <c r="G241" s="36">
        <f t="shared" ref="G241:AO241" si="141">IF($C$20="doyle",G92,IF($C$20="scribner",G141,G191))</f>
        <v>2.3937499999999998</v>
      </c>
      <c r="H241" s="2">
        <f t="shared" si="141"/>
        <v>184.2220884209313</v>
      </c>
      <c r="I241" s="43">
        <f t="shared" si="141"/>
        <v>178.33397173186773</v>
      </c>
      <c r="J241" s="43">
        <f t="shared" si="141"/>
        <v>62.126668904443989</v>
      </c>
      <c r="K241" s="43">
        <f t="shared" si="141"/>
        <v>60.992620781924543</v>
      </c>
      <c r="L241" s="43">
        <f t="shared" si="141"/>
        <v>122.09541951648731</v>
      </c>
      <c r="M241" s="43">
        <f t="shared" si="141"/>
        <v>117.34135094994319</v>
      </c>
      <c r="N241" s="40">
        <f t="shared" si="141"/>
        <v>285.25</v>
      </c>
      <c r="O241" s="40">
        <f t="shared" si="141"/>
        <v>203.75</v>
      </c>
      <c r="P241" s="40">
        <f t="shared" si="141"/>
        <v>17.721632304992649</v>
      </c>
      <c r="Q241" s="40">
        <f t="shared" si="141"/>
        <v>24.876941726484286</v>
      </c>
      <c r="R241" s="19">
        <f t="shared" si="141"/>
        <v>-6.3897861047215399</v>
      </c>
      <c r="S241" s="40">
        <f t="shared" si="141"/>
        <v>94.132499999999993</v>
      </c>
      <c r="T241" s="40">
        <f t="shared" si="141"/>
        <v>203.75</v>
      </c>
      <c r="U241" s="40">
        <f t="shared" si="141"/>
        <v>5.741387875754512</v>
      </c>
      <c r="V241" s="40">
        <f t="shared" si="141"/>
        <v>23.908300256050925</v>
      </c>
      <c r="W241" s="19">
        <f t="shared" si="141"/>
        <v>-4.4474532197708152</v>
      </c>
      <c r="X241" s="19">
        <f t="shared" si="141"/>
        <v>20.909672806880277</v>
      </c>
      <c r="Y241" s="19">
        <f t="shared" si="141"/>
        <v>17.121956109555057</v>
      </c>
      <c r="Z241" s="40">
        <f t="shared" si="141"/>
        <v>0.5</v>
      </c>
      <c r="AA241" s="19">
        <f t="shared" si="141"/>
        <v>-7.4999999999999997E-2</v>
      </c>
      <c r="AB241" s="19">
        <f t="shared" si="141"/>
        <v>0.24542691019926746</v>
      </c>
      <c r="AC241" s="40">
        <f t="shared" si="141"/>
        <v>4.914327245018308</v>
      </c>
      <c r="AD241" s="19">
        <f t="shared" si="141"/>
        <v>-8.8700172721429354E-2</v>
      </c>
      <c r="AE241" s="40">
        <f t="shared" si="141"/>
        <v>-1.5616345527622462</v>
      </c>
      <c r="AF241" s="19">
        <f t="shared" si="141"/>
        <v>-2.1288041453143045E-2</v>
      </c>
      <c r="AG241" s="40">
        <f t="shared" si="141"/>
        <v>-0.37479229266293912</v>
      </c>
      <c r="AH241" s="40">
        <f t="shared" si="141"/>
        <v>2.3134528077923946</v>
      </c>
      <c r="AI241" s="40">
        <f t="shared" si="141"/>
        <v>5.7435342369104259</v>
      </c>
      <c r="AJ241" s="40">
        <f t="shared" si="141"/>
        <v>-14.808503301762663</v>
      </c>
      <c r="AK241" s="40">
        <f t="shared" si="141"/>
        <v>-11.37842187264463</v>
      </c>
      <c r="AL241" s="40">
        <f t="shared" si="141"/>
        <v>19.34803825411803</v>
      </c>
      <c r="AM241" s="40">
        <f t="shared" si="141"/>
        <v>21.661491061910425</v>
      </c>
      <c r="AN241" s="40">
        <f t="shared" si="141"/>
        <v>15.917956824999999</v>
      </c>
      <c r="AO241" s="40">
        <f t="shared" si="141"/>
        <v>4.5395349523553685</v>
      </c>
      <c r="AP241" s="17"/>
      <c r="AS241" s="16">
        <f t="shared" si="122"/>
        <v>4.5395349523553685</v>
      </c>
      <c r="AT241" s="16">
        <f t="shared" si="123"/>
        <v>19.34803825411803</v>
      </c>
      <c r="AU241" s="40">
        <f t="shared" si="128"/>
        <v>-14.808503301762663</v>
      </c>
    </row>
    <row r="242" spans="2:47" x14ac:dyDescent="0.2">
      <c r="B242" s="2">
        <v>16</v>
      </c>
      <c r="C242" s="63">
        <f t="shared" ca="1" si="124"/>
        <v>47501.383684953704</v>
      </c>
      <c r="D242" s="36">
        <f t="shared" si="125"/>
        <v>15.499999999999995</v>
      </c>
      <c r="E242" s="36">
        <f t="shared" si="126"/>
        <v>15.349999999999998</v>
      </c>
      <c r="F242" s="36">
        <f t="shared" ca="1" si="120"/>
        <v>1423.6369901548032</v>
      </c>
      <c r="G242" s="36">
        <f t="shared" ref="G242:AO242" si="142">IF($C$20="doyle",G93,IF($C$20="scribner",G142,G192))</f>
        <v>2.421875</v>
      </c>
      <c r="H242" s="2">
        <f t="shared" si="142"/>
        <v>188.30756105452934</v>
      </c>
      <c r="I242" s="43">
        <f t="shared" si="142"/>
        <v>181.93712950533944</v>
      </c>
      <c r="J242" s="43">
        <f t="shared" si="142"/>
        <v>62.882332454497259</v>
      </c>
      <c r="K242" s="43">
        <f t="shared" si="142"/>
        <v>61.667056891349446</v>
      </c>
      <c r="L242" s="43">
        <f t="shared" si="142"/>
        <v>125.42522860003209</v>
      </c>
      <c r="M242" s="43">
        <f t="shared" si="142"/>
        <v>120.27007261399</v>
      </c>
      <c r="N242" s="40">
        <f t="shared" si="142"/>
        <v>293.125</v>
      </c>
      <c r="O242" s="40">
        <f t="shared" si="142"/>
        <v>209.375</v>
      </c>
      <c r="P242" s="40">
        <f t="shared" si="142"/>
        <v>18.432383700724511</v>
      </c>
      <c r="Q242" s="40">
        <f t="shared" si="142"/>
        <v>26.260907238131718</v>
      </c>
      <c r="R242" s="19">
        <f t="shared" si="142"/>
        <v>-6.7039936408284344</v>
      </c>
      <c r="S242" s="40">
        <f t="shared" si="142"/>
        <v>96.731249999999989</v>
      </c>
      <c r="T242" s="40">
        <f t="shared" si="142"/>
        <v>209.375</v>
      </c>
      <c r="U242" s="40">
        <f t="shared" si="142"/>
        <v>5.9651314969213454</v>
      </c>
      <c r="V242" s="40">
        <f t="shared" si="142"/>
        <v>25.181546453554155</v>
      </c>
      <c r="W242" s="19">
        <f t="shared" si="142"/>
        <v>-4.6720016925713246</v>
      </c>
      <c r="X242" s="19">
        <f t="shared" si="142"/>
        <v>21.094108272616158</v>
      </c>
      <c r="Y242" s="19">
        <f t="shared" si="142"/>
        <v>17.2946446433413</v>
      </c>
      <c r="Z242" s="40">
        <f t="shared" si="142"/>
        <v>0.5</v>
      </c>
      <c r="AA242" s="19">
        <f t="shared" si="142"/>
        <v>-7.4999999999999997E-2</v>
      </c>
      <c r="AB242" s="19">
        <f t="shared" si="142"/>
        <v>0.2359874136531418</v>
      </c>
      <c r="AC242" s="40">
        <f t="shared" si="142"/>
        <v>5.1503146586714497</v>
      </c>
      <c r="AD242" s="19">
        <f t="shared" si="142"/>
        <v>-8.6621262423270867E-2</v>
      </c>
      <c r="AE242" s="40">
        <f t="shared" si="142"/>
        <v>-1.6482558151855171</v>
      </c>
      <c r="AF242" s="19">
        <f t="shared" si="142"/>
        <v>-2.0789102981585005E-2</v>
      </c>
      <c r="AG242" s="40">
        <f t="shared" si="142"/>
        <v>-0.3955813956445241</v>
      </c>
      <c r="AH242" s="40">
        <f t="shared" si="142"/>
        <v>2.6035254489375852</v>
      </c>
      <c r="AI242" s="40">
        <f t="shared" si="142"/>
        <v>6.1314210813682255</v>
      </c>
      <c r="AJ242" s="40">
        <f t="shared" si="142"/>
        <v>-14.691119194403715</v>
      </c>
      <c r="AK242" s="40">
        <f t="shared" si="142"/>
        <v>-11.163223561973073</v>
      </c>
      <c r="AL242" s="40">
        <f t="shared" si="142"/>
        <v>19.44585245743064</v>
      </c>
      <c r="AM242" s="40">
        <f t="shared" si="142"/>
        <v>22.049377906368225</v>
      </c>
      <c r="AN242" s="40">
        <f t="shared" si="142"/>
        <v>15.917956824999999</v>
      </c>
      <c r="AO242" s="40">
        <f t="shared" si="142"/>
        <v>4.7547332630269254</v>
      </c>
      <c r="AP242" s="17"/>
      <c r="AS242" s="16">
        <f t="shared" si="122"/>
        <v>4.7547332630269254</v>
      </c>
      <c r="AT242" s="16">
        <f t="shared" si="123"/>
        <v>19.44585245743064</v>
      </c>
      <c r="AU242" s="40">
        <f t="shared" si="128"/>
        <v>-14.691119194403715</v>
      </c>
    </row>
    <row r="243" spans="2:47" x14ac:dyDescent="0.2">
      <c r="B243" s="2">
        <v>17</v>
      </c>
      <c r="C243" s="63">
        <f t="shared" ca="1" si="124"/>
        <v>47866.383684953704</v>
      </c>
      <c r="D243" s="36">
        <f t="shared" si="125"/>
        <v>15.599999999999994</v>
      </c>
      <c r="E243" s="36">
        <f t="shared" si="126"/>
        <v>15.439999999999998</v>
      </c>
      <c r="F243" s="36">
        <f t="shared" ca="1" si="120"/>
        <v>1435.0432401548032</v>
      </c>
      <c r="G243" s="36">
        <f t="shared" ref="G243:AO243" si="143">IF($C$20="doyle",G94,IF($C$20="scribner",G143,G193))</f>
        <v>2.4500000000000002</v>
      </c>
      <c r="H243" s="2">
        <f t="shared" si="143"/>
        <v>192.42221437793376</v>
      </c>
      <c r="I243" s="43">
        <f t="shared" si="143"/>
        <v>185.56192409131498</v>
      </c>
      <c r="J243" s="43">
        <f t="shared" si="143"/>
        <v>63.63440904629617</v>
      </c>
      <c r="K243" s="43">
        <f t="shared" si="143"/>
        <v>62.337964078249513</v>
      </c>
      <c r="L243" s="43">
        <f t="shared" si="143"/>
        <v>128.78780533163757</v>
      </c>
      <c r="M243" s="43">
        <f t="shared" si="143"/>
        <v>123.22396001306547</v>
      </c>
      <c r="N243" s="40">
        <f t="shared" si="143"/>
        <v>301</v>
      </c>
      <c r="O243" s="40">
        <f t="shared" si="143"/>
        <v>215</v>
      </c>
      <c r="P243" s="40">
        <f t="shared" si="143"/>
        <v>19.153957122935147</v>
      </c>
      <c r="Q243" s="40">
        <f t="shared" si="143"/>
        <v>27.689378146302076</v>
      </c>
      <c r="R243" s="19">
        <f t="shared" si="143"/>
        <v>-7.0265002903855835</v>
      </c>
      <c r="S243" s="40">
        <f t="shared" si="143"/>
        <v>99.33</v>
      </c>
      <c r="T243" s="40">
        <f t="shared" si="143"/>
        <v>215</v>
      </c>
      <c r="U243" s="40">
        <f t="shared" si="143"/>
        <v>6.1920299718925245</v>
      </c>
      <c r="V243" s="40">
        <f t="shared" si="143"/>
        <v>26.493151402809076</v>
      </c>
      <c r="W243" s="19">
        <f t="shared" si="143"/>
        <v>-4.9027772062052399</v>
      </c>
      <c r="X243" s="19">
        <f t="shared" si="143"/>
        <v>21.258533725142861</v>
      </c>
      <c r="Y243" s="19">
        <f t="shared" si="143"/>
        <v>17.450885559727762</v>
      </c>
      <c r="Z243" s="40">
        <f t="shared" si="143"/>
        <v>0.5</v>
      </c>
      <c r="AA243" s="19">
        <f t="shared" si="143"/>
        <v>-7.4999999999999997E-2</v>
      </c>
      <c r="AB243" s="19">
        <f t="shared" si="143"/>
        <v>0.22691097466648244</v>
      </c>
      <c r="AC243" s="40">
        <f t="shared" si="143"/>
        <v>5.3772256333379325</v>
      </c>
      <c r="AD243" s="19">
        <f t="shared" si="143"/>
        <v>-8.4571055028637224E-2</v>
      </c>
      <c r="AE243" s="40">
        <f t="shared" si="143"/>
        <v>-1.7328268702141543</v>
      </c>
      <c r="AF243" s="19">
        <f t="shared" si="143"/>
        <v>-2.0297053206872931E-2</v>
      </c>
      <c r="AG243" s="40">
        <f t="shared" si="143"/>
        <v>-0.41587844885139702</v>
      </c>
      <c r="AH243" s="40">
        <f t="shared" si="143"/>
        <v>2.8865258892855898</v>
      </c>
      <c r="AI243" s="40">
        <f t="shared" si="143"/>
        <v>6.4942759192142976</v>
      </c>
      <c r="AJ243" s="40">
        <f t="shared" si="143"/>
        <v>-14.564359670442173</v>
      </c>
      <c r="AK243" s="40">
        <f t="shared" si="143"/>
        <v>-10.956609640513463</v>
      </c>
      <c r="AL243" s="40">
        <f t="shared" si="143"/>
        <v>19.525706854928707</v>
      </c>
      <c r="AM243" s="40">
        <f t="shared" si="143"/>
        <v>22.412232744214297</v>
      </c>
      <c r="AN243" s="40">
        <f t="shared" si="143"/>
        <v>15.917956824999999</v>
      </c>
      <c r="AO243" s="40">
        <f t="shared" si="143"/>
        <v>4.9613471844865353</v>
      </c>
      <c r="AP243" s="17"/>
      <c r="AS243" s="16">
        <f t="shared" si="122"/>
        <v>4.9613471844865353</v>
      </c>
      <c r="AT243" s="16">
        <f t="shared" si="123"/>
        <v>19.525706854928707</v>
      </c>
      <c r="AU243" s="40">
        <f t="shared" si="128"/>
        <v>-14.564359670442173</v>
      </c>
    </row>
    <row r="244" spans="2:47" x14ac:dyDescent="0.2">
      <c r="B244" s="2">
        <v>18</v>
      </c>
      <c r="C244" s="63">
        <f t="shared" ca="1" si="124"/>
        <v>48231.383684953704</v>
      </c>
      <c r="D244" s="36">
        <f t="shared" si="125"/>
        <v>15.699999999999994</v>
      </c>
      <c r="E244" s="36">
        <f t="shared" si="126"/>
        <v>15.529999999999998</v>
      </c>
      <c r="F244" s="36">
        <f t="shared" ca="1" si="120"/>
        <v>1446.4494901548032</v>
      </c>
      <c r="G244" s="36">
        <f t="shared" ref="G244:AO244" si="144">IF($C$20="doyle",G95,IF($C$20="scribner",G144,G194))</f>
        <v>2.4781249999999999</v>
      </c>
      <c r="H244" s="2">
        <f t="shared" si="144"/>
        <v>196.5653729291019</v>
      </c>
      <c r="I244" s="43">
        <f t="shared" si="144"/>
        <v>189.20781540758708</v>
      </c>
      <c r="J244" s="43">
        <f t="shared" si="144"/>
        <v>64.382855552846081</v>
      </c>
      <c r="K244" s="43">
        <f t="shared" si="144"/>
        <v>63.005313644622447</v>
      </c>
      <c r="L244" s="43">
        <f t="shared" si="144"/>
        <v>132.18251737625582</v>
      </c>
      <c r="M244" s="43">
        <f t="shared" si="144"/>
        <v>126.20250176296463</v>
      </c>
      <c r="N244" s="40">
        <f t="shared" si="144"/>
        <v>308.875</v>
      </c>
      <c r="O244" s="40">
        <f t="shared" si="144"/>
        <v>220.625</v>
      </c>
      <c r="P244" s="40">
        <f t="shared" si="144"/>
        <v>19.886254508885333</v>
      </c>
      <c r="Q244" s="40">
        <f t="shared" si="144"/>
        <v>29.162767896136437</v>
      </c>
      <c r="R244" s="19">
        <f t="shared" si="144"/>
        <v>-7.3573533607532653</v>
      </c>
      <c r="S244" s="40">
        <f t="shared" si="144"/>
        <v>101.92875000000001</v>
      </c>
      <c r="T244" s="40">
        <f t="shared" si="144"/>
        <v>220.625</v>
      </c>
      <c r="U244" s="40">
        <f t="shared" si="144"/>
        <v>6.4220528631543115</v>
      </c>
      <c r="V244" s="40">
        <f t="shared" si="144"/>
        <v>27.84342695145407</v>
      </c>
      <c r="W244" s="19">
        <f t="shared" si="144"/>
        <v>-5.1398219721912577</v>
      </c>
      <c r="X244" s="19">
        <f t="shared" si="144"/>
        <v>21.403387462233894</v>
      </c>
      <c r="Y244" s="19">
        <f t="shared" si="144"/>
        <v>17.590980593093821</v>
      </c>
      <c r="Z244" s="40">
        <f t="shared" si="144"/>
        <v>0.5</v>
      </c>
      <c r="AA244" s="19">
        <f t="shared" si="144"/>
        <v>-7.4999999999999997E-2</v>
      </c>
      <c r="AB244" s="19">
        <f t="shared" si="144"/>
        <v>0.21818362948700235</v>
      </c>
      <c r="AC244" s="40">
        <f t="shared" si="144"/>
        <v>5.5954092628249352</v>
      </c>
      <c r="AD244" s="19">
        <f t="shared" si="144"/>
        <v>-8.2550417932964651E-2</v>
      </c>
      <c r="AE244" s="40">
        <f t="shared" si="144"/>
        <v>-1.8153772881471189</v>
      </c>
      <c r="AF244" s="19">
        <f t="shared" si="144"/>
        <v>-1.9812100303911513E-2</v>
      </c>
      <c r="AG244" s="40">
        <f t="shared" si="144"/>
        <v>-0.43569054915530853</v>
      </c>
      <c r="AH244" s="40">
        <f t="shared" si="144"/>
        <v>3.1626891326766717</v>
      </c>
      <c r="AI244" s="40">
        <f t="shared" si="144"/>
        <v>6.8327424817634483</v>
      </c>
      <c r="AJ244" s="40">
        <f t="shared" si="144"/>
        <v>-14.428291460417149</v>
      </c>
      <c r="AK244" s="40">
        <f t="shared" si="144"/>
        <v>-10.758238111330373</v>
      </c>
      <c r="AL244" s="40">
        <f t="shared" si="144"/>
        <v>19.588010174086776</v>
      </c>
      <c r="AM244" s="40">
        <f t="shared" si="144"/>
        <v>22.750699306763448</v>
      </c>
      <c r="AN244" s="40">
        <f t="shared" si="144"/>
        <v>15.917956824999999</v>
      </c>
      <c r="AO244" s="40">
        <f t="shared" si="144"/>
        <v>5.1597187136696263</v>
      </c>
      <c r="AP244" s="17"/>
      <c r="AS244" s="16">
        <f t="shared" si="122"/>
        <v>5.1597187136696263</v>
      </c>
      <c r="AT244" s="16">
        <f t="shared" si="123"/>
        <v>19.588010174086776</v>
      </c>
      <c r="AU244" s="40">
        <f t="shared" si="128"/>
        <v>-14.428291460417149</v>
      </c>
    </row>
    <row r="245" spans="2:47" x14ac:dyDescent="0.2">
      <c r="B245" s="2">
        <v>19</v>
      </c>
      <c r="C245" s="63">
        <f t="shared" ca="1" si="124"/>
        <v>48596.383684953704</v>
      </c>
      <c r="D245" s="36">
        <f t="shared" si="125"/>
        <v>15.799999999999994</v>
      </c>
      <c r="E245" s="36">
        <f t="shared" si="126"/>
        <v>15.619999999999997</v>
      </c>
      <c r="F245" s="36">
        <f t="shared" ca="1" si="120"/>
        <v>1457.8557401548032</v>
      </c>
      <c r="G245" s="36">
        <f t="shared" ref="G245:AO245" si="145">IF($C$20="doyle",G96,IF($C$20="scribner",G145,G195))</f>
        <v>2.5062500000000001</v>
      </c>
      <c r="H245" s="2">
        <f t="shared" si="145"/>
        <v>200.73636148220842</v>
      </c>
      <c r="I245" s="43">
        <f t="shared" si="145"/>
        <v>192.8742647088543</v>
      </c>
      <c r="J245" s="43">
        <f t="shared" si="145"/>
        <v>65.127630850454182</v>
      </c>
      <c r="K245" s="43">
        <f t="shared" si="145"/>
        <v>63.669078452791823</v>
      </c>
      <c r="L245" s="43">
        <f t="shared" si="145"/>
        <v>135.60873063175424</v>
      </c>
      <c r="M245" s="43">
        <f t="shared" si="145"/>
        <v>129.20518625606246</v>
      </c>
      <c r="N245" s="40">
        <f t="shared" si="145"/>
        <v>316.75</v>
      </c>
      <c r="O245" s="40">
        <f t="shared" si="145"/>
        <v>226.25</v>
      </c>
      <c r="P245" s="40">
        <f t="shared" si="145"/>
        <v>20.629177071881362</v>
      </c>
      <c r="Q245" s="40">
        <f t="shared" si="145"/>
        <v>30.681475305434397</v>
      </c>
      <c r="R245" s="19">
        <f t="shared" si="145"/>
        <v>-7.6965978565973643</v>
      </c>
      <c r="S245" s="40">
        <f t="shared" si="145"/>
        <v>104.5275</v>
      </c>
      <c r="T245" s="40">
        <f t="shared" si="145"/>
        <v>226.25</v>
      </c>
      <c r="U245" s="40">
        <f t="shared" si="145"/>
        <v>6.655169597974198</v>
      </c>
      <c r="V245" s="40">
        <f t="shared" si="145"/>
        <v>29.232673390434133</v>
      </c>
      <c r="W245" s="19">
        <f t="shared" si="145"/>
        <v>-5.3831764482612492</v>
      </c>
      <c r="X245" s="19">
        <f t="shared" si="145"/>
        <v>21.52912378274738</v>
      </c>
      <c r="Y245" s="19">
        <f t="shared" si="145"/>
        <v>17.715248501517188</v>
      </c>
      <c r="Z245" s="40">
        <f t="shared" si="145"/>
        <v>0.5</v>
      </c>
      <c r="AA245" s="19">
        <f t="shared" si="145"/>
        <v>-7.4999999999999997E-2</v>
      </c>
      <c r="AB245" s="19">
        <f t="shared" si="145"/>
        <v>0.20979195142980991</v>
      </c>
      <c r="AC245" s="40">
        <f t="shared" si="145"/>
        <v>5.8052012142547449</v>
      </c>
      <c r="AD245" s="19">
        <f t="shared" si="145"/>
        <v>-8.0560109349047004E-2</v>
      </c>
      <c r="AE245" s="40">
        <f t="shared" si="145"/>
        <v>-1.8959373974961657</v>
      </c>
      <c r="AF245" s="19">
        <f t="shared" si="145"/>
        <v>-1.9334426243771279E-2</v>
      </c>
      <c r="AG245" s="40">
        <f t="shared" si="145"/>
        <v>-0.45502497539907982</v>
      </c>
      <c r="AH245" s="40">
        <f t="shared" si="145"/>
        <v>3.4322383551216369</v>
      </c>
      <c r="AI245" s="40">
        <f t="shared" si="145"/>
        <v>7.147467915372852</v>
      </c>
      <c r="AJ245" s="40">
        <f t="shared" si="145"/>
        <v>-14.283010146395549</v>
      </c>
      <c r="AK245" s="40">
        <f t="shared" si="145"/>
        <v>-10.567780586144334</v>
      </c>
      <c r="AL245" s="40">
        <f t="shared" si="145"/>
        <v>19.633186385251214</v>
      </c>
      <c r="AM245" s="40">
        <f t="shared" si="145"/>
        <v>23.065424740372851</v>
      </c>
      <c r="AN245" s="40">
        <f t="shared" si="145"/>
        <v>15.917956824999999</v>
      </c>
      <c r="AO245" s="40">
        <f t="shared" si="145"/>
        <v>5.3501762388556653</v>
      </c>
      <c r="AP245" s="17"/>
      <c r="AS245" s="16">
        <f t="shared" si="122"/>
        <v>5.3501762388556653</v>
      </c>
      <c r="AT245" s="16">
        <f t="shared" si="123"/>
        <v>19.633186385251214</v>
      </c>
      <c r="AU245" s="40">
        <f t="shared" si="128"/>
        <v>-14.283010146395549</v>
      </c>
    </row>
    <row r="246" spans="2:47" x14ac:dyDescent="0.2">
      <c r="B246" s="2">
        <v>20</v>
      </c>
      <c r="C246" s="63">
        <f t="shared" ca="1" si="124"/>
        <v>48961.383684953704</v>
      </c>
      <c r="D246" s="36">
        <f t="shared" si="125"/>
        <v>15.899999999999993</v>
      </c>
      <c r="E246" s="36">
        <f t="shared" si="126"/>
        <v>15.709999999999997</v>
      </c>
      <c r="F246" s="36">
        <f t="shared" ca="1" si="120"/>
        <v>1469.2619901548032</v>
      </c>
      <c r="G246" s="36">
        <f t="shared" ref="G246:AO246" si="146">IF($C$20="doyle",G97,IF($C$20="scribner",G146,G196))</f>
        <v>2.5343749999999998</v>
      </c>
      <c r="H246" s="2">
        <f t="shared" si="146"/>
        <v>204.93450533955172</v>
      </c>
      <c r="I246" s="43">
        <f t="shared" si="146"/>
        <v>196.56073477369668</v>
      </c>
      <c r="J246" s="43">
        <f t="shared" si="146"/>
        <v>65.868695767412973</v>
      </c>
      <c r="K246" s="43">
        <f t="shared" si="146"/>
        <v>64.329232884464204</v>
      </c>
      <c r="L246" s="43">
        <f t="shared" si="146"/>
        <v>139.06580957213873</v>
      </c>
      <c r="M246" s="43">
        <f t="shared" si="146"/>
        <v>132.23150188923248</v>
      </c>
      <c r="N246" s="40">
        <f t="shared" si="146"/>
        <v>324.625</v>
      </c>
      <c r="O246" s="40">
        <f t="shared" si="146"/>
        <v>231.875</v>
      </c>
      <c r="P246" s="40">
        <f t="shared" si="146"/>
        <v>21.382625363496437</v>
      </c>
      <c r="Q246" s="40">
        <f t="shared" si="146"/>
        <v>32.245884594539667</v>
      </c>
      <c r="R246" s="19">
        <f t="shared" si="146"/>
        <v>-8.0442764937054161</v>
      </c>
      <c r="S246" s="40">
        <f t="shared" si="146"/>
        <v>107.12625</v>
      </c>
      <c r="T246" s="40">
        <f t="shared" si="146"/>
        <v>231.875</v>
      </c>
      <c r="U246" s="40">
        <f t="shared" si="146"/>
        <v>6.891349484289333</v>
      </c>
      <c r="V246" s="40">
        <f t="shared" si="146"/>
        <v>30.66117950056578</v>
      </c>
      <c r="W246" s="19">
        <f t="shared" si="146"/>
        <v>-5.6328793477282675</v>
      </c>
      <c r="X246" s="19">
        <f t="shared" si="146"/>
        <v>21.636211069941133</v>
      </c>
      <c r="Y246" s="19">
        <f t="shared" si="146"/>
        <v>17.824023386554874</v>
      </c>
      <c r="Z246" s="40">
        <f t="shared" si="146"/>
        <v>0.5</v>
      </c>
      <c r="AA246" s="19">
        <f t="shared" si="146"/>
        <v>-7.4999999999999997E-2</v>
      </c>
      <c r="AB246" s="19">
        <f t="shared" si="146"/>
        <v>0.2017230302209711</v>
      </c>
      <c r="AC246" s="40">
        <f t="shared" si="146"/>
        <v>6.0069242444757158</v>
      </c>
      <c r="AD246" s="19">
        <f t="shared" si="146"/>
        <v>-7.8600785422571318E-2</v>
      </c>
      <c r="AE246" s="40">
        <f t="shared" si="146"/>
        <v>-1.974538182918737</v>
      </c>
      <c r="AF246" s="19">
        <f t="shared" si="146"/>
        <v>-1.8864188501417117E-2</v>
      </c>
      <c r="AG246" s="40">
        <f t="shared" si="146"/>
        <v>-0.47388916390049696</v>
      </c>
      <c r="AH246" s="40">
        <f t="shared" si="146"/>
        <v>3.6953855801076934</v>
      </c>
      <c r="AI246" s="40">
        <f t="shared" si="146"/>
        <v>7.4391016421300922</v>
      </c>
      <c r="AJ246" s="40">
        <f t="shared" si="146"/>
        <v>-14.128637806447179</v>
      </c>
      <c r="AK246" s="40">
        <f t="shared" si="146"/>
        <v>-10.38492174442478</v>
      </c>
      <c r="AL246" s="40">
        <f t="shared" si="146"/>
        <v>19.661672887022398</v>
      </c>
      <c r="AM246" s="40">
        <f t="shared" si="146"/>
        <v>23.357058467130091</v>
      </c>
      <c r="AN246" s="40">
        <f t="shared" si="146"/>
        <v>15.917956824999999</v>
      </c>
      <c r="AO246" s="40">
        <f t="shared" si="146"/>
        <v>5.5330350805752193</v>
      </c>
      <c r="AP246" s="17"/>
      <c r="AS246" s="16">
        <f t="shared" si="122"/>
        <v>5.5330350805752193</v>
      </c>
      <c r="AT246" s="16">
        <f t="shared" si="123"/>
        <v>19.661672887022398</v>
      </c>
      <c r="AU246" s="40">
        <f t="shared" si="128"/>
        <v>-14.128637806447179</v>
      </c>
    </row>
    <row r="247" spans="2:47" x14ac:dyDescent="0.2">
      <c r="B247" s="2">
        <v>21</v>
      </c>
      <c r="C247" s="63">
        <f t="shared" ca="1" si="124"/>
        <v>49326.383684953704</v>
      </c>
      <c r="D247" s="36">
        <f t="shared" si="125"/>
        <v>15.999999999999993</v>
      </c>
      <c r="E247" s="36">
        <f t="shared" si="126"/>
        <v>15.799999999999997</v>
      </c>
      <c r="F247" s="36">
        <f t="shared" ca="1" si="120"/>
        <v>1480.6682401548032</v>
      </c>
      <c r="G247" s="36">
        <f t="shared" ref="G247:AO247" si="147">IF($C$20="doyle",G98,IF($C$20="scribner",G147,G197))</f>
        <v>2.5625</v>
      </c>
      <c r="H247" s="2">
        <f t="shared" si="147"/>
        <v>209.15913061183463</v>
      </c>
      <c r="I247" s="43">
        <f t="shared" si="147"/>
        <v>200.26669008365084</v>
      </c>
      <c r="J247" s="43">
        <f t="shared" si="147"/>
        <v>66.606013033819721</v>
      </c>
      <c r="K247" s="43">
        <f t="shared" si="147"/>
        <v>64.98575280070007</v>
      </c>
      <c r="L247" s="43">
        <f t="shared" si="147"/>
        <v>142.55311757801491</v>
      </c>
      <c r="M247" s="43">
        <f t="shared" si="147"/>
        <v>135.28093728295079</v>
      </c>
      <c r="N247" s="40">
        <f t="shared" si="147"/>
        <v>332.5</v>
      </c>
      <c r="O247" s="40">
        <f t="shared" si="147"/>
        <v>237.5</v>
      </c>
      <c r="P247" s="40">
        <f t="shared" si="147"/>
        <v>22.146499333745059</v>
      </c>
      <c r="Q247" s="40">
        <f t="shared" si="147"/>
        <v>33.856365424778538</v>
      </c>
      <c r="R247" s="19">
        <f t="shared" si="147"/>
        <v>-8.4004297137785393</v>
      </c>
      <c r="S247" s="40">
        <f t="shared" si="147"/>
        <v>109.72499999999999</v>
      </c>
      <c r="T247" s="40">
        <f t="shared" si="147"/>
        <v>237.5</v>
      </c>
      <c r="U247" s="40">
        <f t="shared" si="147"/>
        <v>7.1305617260568148</v>
      </c>
      <c r="V247" s="40">
        <f t="shared" si="147"/>
        <v>32.129222604700807</v>
      </c>
      <c r="W247" s="19">
        <f t="shared" si="147"/>
        <v>-5.8889676496136438</v>
      </c>
      <c r="X247" s="19">
        <f t="shared" si="147"/>
        <v>21.725129961816567</v>
      </c>
      <c r="Y247" s="19">
        <f t="shared" si="147"/>
        <v>17.917653079235809</v>
      </c>
      <c r="Z247" s="40">
        <f t="shared" si="147"/>
        <v>0.5</v>
      </c>
      <c r="AA247" s="19">
        <f t="shared" si="147"/>
        <v>-7.4999999999999997E-2</v>
      </c>
      <c r="AB247" s="19">
        <f t="shared" si="147"/>
        <v>0.19396445213554911</v>
      </c>
      <c r="AC247" s="40">
        <f t="shared" si="147"/>
        <v>6.2008886966112646</v>
      </c>
      <c r="AD247" s="19">
        <f t="shared" si="147"/>
        <v>-7.6673006961817058E-2</v>
      </c>
      <c r="AE247" s="40">
        <f t="shared" si="147"/>
        <v>-2.0512111898805538</v>
      </c>
      <c r="AF247" s="19">
        <f t="shared" si="147"/>
        <v>-1.8401521670836092E-2</v>
      </c>
      <c r="AG247" s="40">
        <f t="shared" si="147"/>
        <v>-0.49229068557133304</v>
      </c>
      <c r="AH247" s="40">
        <f t="shared" si="147"/>
        <v>3.9523323183397281</v>
      </c>
      <c r="AI247" s="40">
        <f t="shared" si="147"/>
        <v>7.7082942652757414</v>
      </c>
      <c r="AJ247" s="40">
        <f t="shared" si="147"/>
        <v>-13.965320760896081</v>
      </c>
      <c r="AK247" s="40">
        <f t="shared" si="147"/>
        <v>-10.209358813960067</v>
      </c>
      <c r="AL247" s="40">
        <f t="shared" si="147"/>
        <v>19.673918771936012</v>
      </c>
      <c r="AM247" s="40">
        <f t="shared" si="147"/>
        <v>23.626251090275741</v>
      </c>
      <c r="AN247" s="40">
        <f t="shared" si="147"/>
        <v>15.917956824999999</v>
      </c>
      <c r="AO247" s="40">
        <f t="shared" si="147"/>
        <v>5.7085980110399319</v>
      </c>
      <c r="AP247" s="17"/>
      <c r="AS247" s="16">
        <f t="shared" si="122"/>
        <v>5.7085980110399319</v>
      </c>
      <c r="AT247" s="16">
        <f t="shared" si="123"/>
        <v>19.673918771936012</v>
      </c>
      <c r="AU247" s="40">
        <f t="shared" si="128"/>
        <v>-13.965320760896081</v>
      </c>
    </row>
    <row r="248" spans="2:47" x14ac:dyDescent="0.2">
      <c r="B248" s="2">
        <v>22</v>
      </c>
      <c r="C248" s="63">
        <f t="shared" ca="1" si="124"/>
        <v>49691.383684953704</v>
      </c>
      <c r="D248" s="36">
        <f t="shared" si="125"/>
        <v>16.099999999999994</v>
      </c>
      <c r="E248" s="36">
        <f t="shared" si="126"/>
        <v>15.889999999999997</v>
      </c>
      <c r="F248" s="36">
        <f t="shared" ca="1" si="120"/>
        <v>1492.0744901548032</v>
      </c>
      <c r="G248" s="36">
        <f t="shared" ref="G248:AO248" si="148">IF($C$20="doyle",G99,IF($C$20="scribner",G148,G198))</f>
        <v>2.5906250000000002</v>
      </c>
      <c r="H248" s="2">
        <f t="shared" si="148"/>
        <v>213.40956448716076</v>
      </c>
      <c r="I248" s="43">
        <f t="shared" si="148"/>
        <v>203.99159699461723</v>
      </c>
      <c r="J248" s="43">
        <f t="shared" si="148"/>
        <v>67.3395472325074</v>
      </c>
      <c r="K248" s="43">
        <f t="shared" si="148"/>
        <v>65.638615502779047</v>
      </c>
      <c r="L248" s="43">
        <f t="shared" si="148"/>
        <v>146.07001725465335</v>
      </c>
      <c r="M248" s="43">
        <f t="shared" si="148"/>
        <v>138.35298149183819</v>
      </c>
      <c r="N248" s="40">
        <f t="shared" si="148"/>
        <v>340.375</v>
      </c>
      <c r="O248" s="40">
        <f t="shared" si="148"/>
        <v>243.125</v>
      </c>
      <c r="P248" s="40">
        <f t="shared" si="148"/>
        <v>22.920698389264704</v>
      </c>
      <c r="Q248" s="40">
        <f t="shared" si="148"/>
        <v>35.513272945037599</v>
      </c>
      <c r="R248" s="19">
        <f t="shared" si="148"/>
        <v>-8.7650957001453449</v>
      </c>
      <c r="S248" s="40">
        <f t="shared" si="148"/>
        <v>112.32374999999999</v>
      </c>
      <c r="T248" s="40">
        <f t="shared" si="148"/>
        <v>243.125</v>
      </c>
      <c r="U248" s="40">
        <f t="shared" si="148"/>
        <v>7.3727754380802768</v>
      </c>
      <c r="V248" s="40">
        <f t="shared" si="148"/>
        <v>33.637068625203163</v>
      </c>
      <c r="W248" s="19">
        <f t="shared" si="148"/>
        <v>-6.1514766094925157</v>
      </c>
      <c r="X248" s="19">
        <f t="shared" si="148"/>
        <v>21.796371607619857</v>
      </c>
      <c r="Y248" s="19">
        <f t="shared" si="148"/>
        <v>17.996497592531838</v>
      </c>
      <c r="Z248" s="40">
        <f t="shared" si="148"/>
        <v>0.5</v>
      </c>
      <c r="AA248" s="19">
        <f t="shared" si="148"/>
        <v>-7.4999999999999997E-2</v>
      </c>
      <c r="AB248" s="19">
        <f t="shared" si="148"/>
        <v>0.18650428089956642</v>
      </c>
      <c r="AC248" s="40">
        <f t="shared" si="148"/>
        <v>6.3873929775108307</v>
      </c>
      <c r="AD248" s="19">
        <f t="shared" si="148"/>
        <v>-7.4777245800673214E-2</v>
      </c>
      <c r="AE248" s="40">
        <f t="shared" si="148"/>
        <v>-2.1259884356812271</v>
      </c>
      <c r="AF248" s="19">
        <f t="shared" si="148"/>
        <v>-1.794653899216157E-2</v>
      </c>
      <c r="AG248" s="40">
        <f t="shared" si="148"/>
        <v>-0.51023722456349463</v>
      </c>
      <c r="AH248" s="40">
        <f t="shared" si="148"/>
        <v>4.2032701735405453</v>
      </c>
      <c r="AI248" s="40">
        <f t="shared" si="148"/>
        <v>7.9556965204791776</v>
      </c>
      <c r="AJ248" s="40">
        <f t="shared" si="148"/>
        <v>-13.793227418991297</v>
      </c>
      <c r="AK248" s="40">
        <f t="shared" si="148"/>
        <v>-10.040801072052663</v>
      </c>
      <c r="AL248" s="40">
        <f t="shared" si="148"/>
        <v>19.670383171938632</v>
      </c>
      <c r="AM248" s="40">
        <f t="shared" si="148"/>
        <v>23.873653345479177</v>
      </c>
      <c r="AN248" s="40">
        <f t="shared" si="148"/>
        <v>15.917956824999999</v>
      </c>
      <c r="AO248" s="40">
        <f t="shared" si="148"/>
        <v>5.8771557529473357</v>
      </c>
      <c r="AP248" s="17"/>
      <c r="AS248" s="16">
        <f t="shared" si="122"/>
        <v>5.8771557529473357</v>
      </c>
      <c r="AT248" s="16">
        <f t="shared" si="123"/>
        <v>19.670383171938632</v>
      </c>
      <c r="AU248" s="40">
        <f t="shared" si="128"/>
        <v>-13.793227418991297</v>
      </c>
    </row>
    <row r="249" spans="2:47" x14ac:dyDescent="0.2">
      <c r="B249" s="2">
        <v>23</v>
      </c>
      <c r="C249" s="63">
        <f t="shared" ca="1" si="124"/>
        <v>50056.383684953704</v>
      </c>
      <c r="D249" s="36">
        <f t="shared" si="125"/>
        <v>16.199999999999996</v>
      </c>
      <c r="E249" s="36">
        <f t="shared" si="126"/>
        <v>15.979999999999997</v>
      </c>
      <c r="F249" s="36">
        <f t="shared" ca="1" si="120"/>
        <v>1503.4807401548032</v>
      </c>
      <c r="G249" s="36">
        <f t="shared" ref="G249:AO249" si="149">IF($C$20="doyle",G100,IF($C$20="scribner",G149,G199))</f>
        <v>2.6187499999999999</v>
      </c>
      <c r="H249" s="2">
        <f t="shared" si="149"/>
        <v>217.68513548907993</v>
      </c>
      <c r="I249" s="43">
        <f t="shared" si="149"/>
        <v>207.73492390083172</v>
      </c>
      <c r="J249" s="43">
        <f t="shared" si="149"/>
        <v>68.069264751064807</v>
      </c>
      <c r="K249" s="43">
        <f t="shared" si="149"/>
        <v>66.287799693941054</v>
      </c>
      <c r="L249" s="43">
        <f t="shared" si="149"/>
        <v>149.61587073801513</v>
      </c>
      <c r="M249" s="43">
        <f t="shared" si="149"/>
        <v>141.44712420689066</v>
      </c>
      <c r="N249" s="40">
        <f t="shared" si="149"/>
        <v>348.25</v>
      </c>
      <c r="O249" s="40">
        <f t="shared" si="149"/>
        <v>248.75</v>
      </c>
      <c r="P249" s="40">
        <f t="shared" si="149"/>
        <v>23.70512144955832</v>
      </c>
      <c r="Q249" s="40">
        <f t="shared" si="149"/>
        <v>37.216947846081261</v>
      </c>
      <c r="R249" s="19">
        <f t="shared" si="149"/>
        <v>-9.1383103943459361</v>
      </c>
      <c r="S249" s="40">
        <f t="shared" si="149"/>
        <v>114.9225</v>
      </c>
      <c r="T249" s="40">
        <f t="shared" si="149"/>
        <v>248.75</v>
      </c>
      <c r="U249" s="40">
        <f t="shared" si="149"/>
        <v>7.6179596603269406</v>
      </c>
      <c r="V249" s="40">
        <f t="shared" si="149"/>
        <v>35.184972146464055</v>
      </c>
      <c r="W249" s="19">
        <f t="shared" si="149"/>
        <v>-6.4204397710186489</v>
      </c>
      <c r="X249" s="19">
        <f t="shared" si="149"/>
        <v>21.850436009416953</v>
      </c>
      <c r="Y249" s="19">
        <f t="shared" si="149"/>
        <v>18.060927640313878</v>
      </c>
      <c r="Z249" s="40">
        <f t="shared" si="149"/>
        <v>0.5</v>
      </c>
      <c r="AA249" s="19">
        <f t="shared" si="149"/>
        <v>-7.4999999999999997E-2</v>
      </c>
      <c r="AB249" s="19">
        <f t="shared" si="149"/>
        <v>0.17933103932650618</v>
      </c>
      <c r="AC249" s="40">
        <f t="shared" si="149"/>
        <v>6.5667240168373366</v>
      </c>
      <c r="AD249" s="19">
        <f t="shared" si="149"/>
        <v>-7.291389081322415E-2</v>
      </c>
      <c r="AE249" s="40">
        <f t="shared" si="149"/>
        <v>-2.1989023264944514</v>
      </c>
      <c r="AF249" s="19">
        <f t="shared" si="149"/>
        <v>-1.7499333795173797E-2</v>
      </c>
      <c r="AG249" s="40">
        <f t="shared" si="149"/>
        <v>-0.5277365583586684</v>
      </c>
      <c r="AH249" s="40">
        <f t="shared" si="149"/>
        <v>4.4483814158700454</v>
      </c>
      <c r="AI249" s="40">
        <f t="shared" si="149"/>
        <v>8.1819582737925476</v>
      </c>
      <c r="AJ249" s="40">
        <f t="shared" si="149"/>
        <v>-13.612546224443832</v>
      </c>
      <c r="AK249" s="40">
        <f t="shared" si="149"/>
        <v>-9.8789693665213321</v>
      </c>
      <c r="AL249" s="40">
        <f t="shared" si="149"/>
        <v>19.651533682922501</v>
      </c>
      <c r="AM249" s="40">
        <f t="shared" si="149"/>
        <v>24.099915098792547</v>
      </c>
      <c r="AN249" s="40">
        <f t="shared" si="149"/>
        <v>15.917956824999999</v>
      </c>
      <c r="AO249" s="40">
        <f t="shared" si="149"/>
        <v>6.038987458478668</v>
      </c>
      <c r="AP249" s="17"/>
      <c r="AS249" s="16">
        <f t="shared" si="122"/>
        <v>6.038987458478668</v>
      </c>
      <c r="AT249" s="16">
        <f t="shared" si="123"/>
        <v>19.651533682922501</v>
      </c>
      <c r="AU249" s="40">
        <f t="shared" si="128"/>
        <v>-13.612546224443832</v>
      </c>
    </row>
    <row r="250" spans="2:47" x14ac:dyDescent="0.2">
      <c r="B250" s="2">
        <v>24</v>
      </c>
      <c r="C250" s="63">
        <f t="shared" ca="1" si="124"/>
        <v>50421.383684953704</v>
      </c>
      <c r="D250" s="36">
        <f t="shared" si="125"/>
        <v>16.299999999999997</v>
      </c>
      <c r="E250" s="36">
        <f t="shared" si="126"/>
        <v>16.069999999999997</v>
      </c>
      <c r="F250" s="36">
        <f t="shared" ca="1" si="120"/>
        <v>1514.8869901548032</v>
      </c>
      <c r="G250" s="36">
        <f t="shared" ref="G250:AO250" si="150">IF($C$20="doyle",G101,IF($C$20="scribner",G150,G200))</f>
        <v>2.6468750000000001</v>
      </c>
      <c r="H250" s="2">
        <f t="shared" si="150"/>
        <v>221.98517372400698</v>
      </c>
      <c r="I250" s="43">
        <f t="shared" si="150"/>
        <v>211.49614139162696</v>
      </c>
      <c r="J250" s="43">
        <f t="shared" si="150"/>
        <v>68.795133734922331</v>
      </c>
      <c r="K250" s="43">
        <f t="shared" si="150"/>
        <v>66.93328544198485</v>
      </c>
      <c r="L250" s="43">
        <f t="shared" si="150"/>
        <v>153.19003998908465</v>
      </c>
      <c r="M250" s="43">
        <f t="shared" si="150"/>
        <v>144.56285594964211</v>
      </c>
      <c r="N250" s="40">
        <f t="shared" si="150"/>
        <v>406.125</v>
      </c>
      <c r="O250" s="40">
        <f t="shared" si="150"/>
        <v>304.375</v>
      </c>
      <c r="P250" s="40">
        <f t="shared" si="150"/>
        <v>27.939423688095331</v>
      </c>
      <c r="Q250" s="40">
        <f t="shared" si="150"/>
        <v>46.62721842167764</v>
      </c>
      <c r="R250" s="19">
        <f t="shared" si="150"/>
        <v>-11.184996316465945</v>
      </c>
      <c r="S250" s="40">
        <f t="shared" si="150"/>
        <v>117.52124999999999</v>
      </c>
      <c r="T250" s="40">
        <f t="shared" si="150"/>
        <v>254.375</v>
      </c>
      <c r="U250" s="40">
        <f t="shared" si="150"/>
        <v>7.8660833717488616</v>
      </c>
      <c r="V250" s="40">
        <f t="shared" si="150"/>
        <v>36.773176482190216</v>
      </c>
      <c r="W250" s="19">
        <f t="shared" si="150"/>
        <v>-6.6958889780908617</v>
      </c>
      <c r="X250" s="19">
        <f t="shared" si="150"/>
        <v>25.715602747371559</v>
      </c>
      <c r="Y250" s="19">
        <f t="shared" si="150"/>
        <v>18.111323222563072</v>
      </c>
      <c r="Z250" s="40">
        <f t="shared" si="150"/>
        <v>0.5</v>
      </c>
      <c r="AA250" s="19">
        <f t="shared" si="150"/>
        <v>-7.4999999999999997E-2</v>
      </c>
      <c r="AB250" s="19">
        <f t="shared" si="150"/>
        <v>0.17243369166010211</v>
      </c>
      <c r="AC250" s="40">
        <f t="shared" si="150"/>
        <v>6.739157708497439</v>
      </c>
      <c r="AD250" s="19">
        <f t="shared" si="150"/>
        <v>-7.1083253597293852E-2</v>
      </c>
      <c r="AE250" s="40">
        <f t="shared" si="150"/>
        <v>-2.2699855800917454</v>
      </c>
      <c r="AF250" s="19">
        <f t="shared" si="150"/>
        <v>-1.7059980863350525E-2</v>
      </c>
      <c r="AG250" s="40">
        <f t="shared" si="150"/>
        <v>-0.54479653922201887</v>
      </c>
      <c r="AH250" s="40">
        <f t="shared" si="150"/>
        <v>0.86006722455867646</v>
      </c>
      <c r="AI250" s="40">
        <f t="shared" si="150"/>
        <v>8.3877275668384907</v>
      </c>
      <c r="AJ250" s="40">
        <f t="shared" si="150"/>
        <v>-17.251255998004392</v>
      </c>
      <c r="AK250" s="40">
        <f t="shared" si="150"/>
        <v>-9.72359565572458</v>
      </c>
      <c r="AL250" s="40">
        <f t="shared" si="150"/>
        <v>23.445617167279813</v>
      </c>
      <c r="AM250" s="40">
        <f t="shared" si="150"/>
        <v>24.30568439183849</v>
      </c>
      <c r="AN250" s="40">
        <f t="shared" si="150"/>
        <v>15.917956824999999</v>
      </c>
      <c r="AO250" s="40">
        <f t="shared" si="150"/>
        <v>6.1943611692754201</v>
      </c>
      <c r="AP250" s="17"/>
      <c r="AS250" s="16">
        <f t="shared" si="122"/>
        <v>6.1943611692754201</v>
      </c>
      <c r="AT250" s="16">
        <f t="shared" si="123"/>
        <v>23.445617167279813</v>
      </c>
      <c r="AU250" s="40">
        <f t="shared" si="128"/>
        <v>-17.251255998004392</v>
      </c>
    </row>
    <row r="251" spans="2:47" x14ac:dyDescent="0.2">
      <c r="B251" s="2">
        <v>25</v>
      </c>
      <c r="C251" s="63">
        <f t="shared" ca="1" si="124"/>
        <v>50786.383684953704</v>
      </c>
      <c r="D251" s="36">
        <f t="shared" si="125"/>
        <v>16.399999999999999</v>
      </c>
      <c r="E251" s="36">
        <f t="shared" si="126"/>
        <v>16.159999999999997</v>
      </c>
      <c r="F251" s="36">
        <f t="shared" ca="1" si="120"/>
        <v>1526.2932401548032</v>
      </c>
      <c r="G251" s="36">
        <f t="shared" ref="G251:AO251" si="151">IF($C$20="doyle",G102,IF($C$20="scribner",G151,G201))</f>
        <v>2.6749999999999998</v>
      </c>
      <c r="H251" s="2">
        <f t="shared" si="151"/>
        <v>226.30901111832873</v>
      </c>
      <c r="I251" s="43">
        <f t="shared" si="151"/>
        <v>215.27472240119613</v>
      </c>
      <c r="J251" s="43">
        <f t="shared" si="151"/>
        <v>69.517124041481225</v>
      </c>
      <c r="K251" s="43">
        <f t="shared" si="151"/>
        <v>67.575054142705611</v>
      </c>
      <c r="L251" s="43">
        <f t="shared" si="151"/>
        <v>156.7918870768475</v>
      </c>
      <c r="M251" s="43">
        <f t="shared" si="151"/>
        <v>147.69966825849053</v>
      </c>
      <c r="N251" s="40">
        <f t="shared" si="151"/>
        <v>414</v>
      </c>
      <c r="O251" s="40">
        <f t="shared" si="151"/>
        <v>310</v>
      </c>
      <c r="P251" s="40">
        <f t="shared" si="151"/>
        <v>28.780089353173224</v>
      </c>
      <c r="Q251" s="40">
        <f t="shared" si="151"/>
        <v>48.605484993822728</v>
      </c>
      <c r="R251" s="19">
        <f t="shared" si="151"/>
        <v>-11.607836152049392</v>
      </c>
      <c r="S251" s="40">
        <f t="shared" si="151"/>
        <v>120.12</v>
      </c>
      <c r="T251" s="40">
        <f t="shared" si="151"/>
        <v>260</v>
      </c>
      <c r="U251" s="40">
        <f t="shared" si="151"/>
        <v>8.1171155036217986</v>
      </c>
      <c r="V251" s="40">
        <f t="shared" si="151"/>
        <v>38.401913747207537</v>
      </c>
      <c r="W251" s="19">
        <f t="shared" si="151"/>
        <v>-6.9778543876243999</v>
      </c>
      <c r="X251" s="19">
        <f t="shared" si="151"/>
        <v>25.661308203634245</v>
      </c>
      <c r="Y251" s="19">
        <f t="shared" si="151"/>
        <v>18.148072276390895</v>
      </c>
      <c r="Z251" s="40">
        <f t="shared" si="151"/>
        <v>0.5</v>
      </c>
      <c r="AA251" s="19">
        <f t="shared" si="151"/>
        <v>-7.4999999999999997E-2</v>
      </c>
      <c r="AB251" s="19">
        <f t="shared" si="151"/>
        <v>0.16580162659625203</v>
      </c>
      <c r="AC251" s="40">
        <f t="shared" si="151"/>
        <v>6.9049593350936913</v>
      </c>
      <c r="AD251" s="19">
        <f t="shared" si="151"/>
        <v>-6.9285573843516135E-2</v>
      </c>
      <c r="AE251" s="40">
        <f t="shared" si="151"/>
        <v>-2.3392711539352615</v>
      </c>
      <c r="AF251" s="19">
        <f t="shared" si="151"/>
        <v>-1.6628537722443871E-2</v>
      </c>
      <c r="AG251" s="40">
        <f t="shared" si="151"/>
        <v>-0.56142507694446275</v>
      </c>
      <c r="AH251" s="40">
        <f t="shared" si="151"/>
        <v>1.1695694848411371</v>
      </c>
      <c r="AI251" s="40">
        <f t="shared" si="151"/>
        <v>8.5736497095401223</v>
      </c>
      <c r="AJ251" s="40">
        <f t="shared" si="151"/>
        <v>-16.978502791549758</v>
      </c>
      <c r="AK251" s="40">
        <f t="shared" si="151"/>
        <v>-9.574422566850771</v>
      </c>
      <c r="AL251" s="40">
        <f t="shared" si="151"/>
        <v>23.322037049698984</v>
      </c>
      <c r="AM251" s="40">
        <f t="shared" si="151"/>
        <v>24.491606534540121</v>
      </c>
      <c r="AN251" s="40">
        <f t="shared" si="151"/>
        <v>15.917956824999999</v>
      </c>
      <c r="AO251" s="40">
        <f t="shared" si="151"/>
        <v>6.3435342581492282</v>
      </c>
      <c r="AP251" s="17"/>
      <c r="AS251" s="16">
        <f t="shared" si="122"/>
        <v>6.3435342581492282</v>
      </c>
      <c r="AT251" s="16">
        <f t="shared" si="123"/>
        <v>23.322037049698984</v>
      </c>
      <c r="AU251" s="40">
        <f t="shared" si="128"/>
        <v>-16.978502791549758</v>
      </c>
    </row>
    <row r="252" spans="2:47" x14ac:dyDescent="0.2">
      <c r="B252" s="2">
        <v>26</v>
      </c>
      <c r="C252" s="63">
        <f t="shared" ca="1" si="124"/>
        <v>51151.383684953704</v>
      </c>
      <c r="D252" s="36">
        <f t="shared" si="125"/>
        <v>16.5</v>
      </c>
      <c r="E252" s="36">
        <f t="shared" si="126"/>
        <v>16.249999999999996</v>
      </c>
      <c r="F252" s="36">
        <f t="shared" ca="1" si="120"/>
        <v>1537.6994901548032</v>
      </c>
      <c r="G252" s="36">
        <f t="shared" ref="G252:AO252" si="152">IF($C$20="doyle",G103,IF($C$20="scribner",G152,G202))</f>
        <v>2.703125</v>
      </c>
      <c r="H252" s="2">
        <f t="shared" si="152"/>
        <v>230.65598164550818</v>
      </c>
      <c r="I252" s="43">
        <f t="shared" si="152"/>
        <v>219.07014235157934</v>
      </c>
      <c r="J252" s="43">
        <f t="shared" si="152"/>
        <v>70.235207195265033</v>
      </c>
      <c r="K252" s="43">
        <f t="shared" si="152"/>
        <v>68.213088484154426</v>
      </c>
      <c r="L252" s="43">
        <f t="shared" si="152"/>
        <v>160.42077445024313</v>
      </c>
      <c r="M252" s="43">
        <f t="shared" si="152"/>
        <v>150.8570538674249</v>
      </c>
      <c r="N252" s="40">
        <f t="shared" si="152"/>
        <v>421.875</v>
      </c>
      <c r="O252" s="40">
        <f t="shared" si="152"/>
        <v>315.625</v>
      </c>
      <c r="P252" s="40">
        <f t="shared" si="152"/>
        <v>29.630478035502435</v>
      </c>
      <c r="Q252" s="40">
        <f t="shared" si="152"/>
        <v>50.632806935857985</v>
      </c>
      <c r="R252" s="19">
        <f t="shared" si="152"/>
        <v>-12.039492745704063</v>
      </c>
      <c r="S252" s="40">
        <f t="shared" si="152"/>
        <v>122.71875</v>
      </c>
      <c r="T252" s="40">
        <f t="shared" si="152"/>
        <v>265.625</v>
      </c>
      <c r="U252" s="40">
        <f t="shared" si="152"/>
        <v>8.3710249524148264</v>
      </c>
      <c r="V252" s="40">
        <f t="shared" si="152"/>
        <v>40.071404933534737</v>
      </c>
      <c r="W252" s="19">
        <f t="shared" si="152"/>
        <v>-7.2663644828924348</v>
      </c>
      <c r="X252" s="19">
        <f t="shared" si="152"/>
        <v>25.591890777327045</v>
      </c>
      <c r="Y252" s="19">
        <f t="shared" si="152"/>
        <v>18.171569392229248</v>
      </c>
      <c r="Z252" s="40">
        <f t="shared" si="152"/>
        <v>0.5</v>
      </c>
      <c r="AA252" s="19">
        <f t="shared" si="152"/>
        <v>-7.4999999999999997E-2</v>
      </c>
      <c r="AB252" s="19">
        <f t="shared" si="152"/>
        <v>0.1594246409579346</v>
      </c>
      <c r="AC252" s="40">
        <f t="shared" si="152"/>
        <v>7.0643839760516256</v>
      </c>
      <c r="AD252" s="19">
        <f t="shared" si="152"/>
        <v>-6.7521024405713476E-2</v>
      </c>
      <c r="AE252" s="40">
        <f t="shared" si="152"/>
        <v>-2.4067921783409751</v>
      </c>
      <c r="AF252" s="19">
        <f t="shared" si="152"/>
        <v>-1.6205045857371234E-2</v>
      </c>
      <c r="AG252" s="40">
        <f t="shared" si="152"/>
        <v>-0.57763012280183401</v>
      </c>
      <c r="AH252" s="40">
        <f t="shared" si="152"/>
        <v>1.4732246464929695</v>
      </c>
      <c r="AI252" s="40">
        <f t="shared" si="152"/>
        <v>8.7403664204790399</v>
      </c>
      <c r="AJ252" s="40">
        <f t="shared" si="152"/>
        <v>-16.698344745736279</v>
      </c>
      <c r="AK252" s="40">
        <f t="shared" si="152"/>
        <v>-9.4312029717502064</v>
      </c>
      <c r="AL252" s="40">
        <f t="shared" si="152"/>
        <v>23.18509859898607</v>
      </c>
      <c r="AM252" s="40">
        <f t="shared" si="152"/>
        <v>24.658323245479039</v>
      </c>
      <c r="AN252" s="40">
        <f t="shared" si="152"/>
        <v>15.917956824999999</v>
      </c>
      <c r="AO252" s="40">
        <f t="shared" si="152"/>
        <v>6.4867538532497919</v>
      </c>
      <c r="AP252" s="17"/>
      <c r="AS252" s="16">
        <f t="shared" si="122"/>
        <v>6.4867538532497919</v>
      </c>
      <c r="AT252" s="16">
        <f t="shared" si="123"/>
        <v>23.18509859898607</v>
      </c>
      <c r="AU252" s="40">
        <f t="shared" si="128"/>
        <v>-16.698344745736279</v>
      </c>
    </row>
    <row r="253" spans="2:47" x14ac:dyDescent="0.2">
      <c r="B253" s="2">
        <v>27</v>
      </c>
      <c r="C253" s="63">
        <f t="shared" ca="1" si="124"/>
        <v>51516.383684953704</v>
      </c>
      <c r="D253" s="36">
        <f t="shared" si="125"/>
        <v>16.600000000000001</v>
      </c>
      <c r="E253" s="36">
        <f t="shared" si="126"/>
        <v>16.339999999999996</v>
      </c>
      <c r="F253" s="36">
        <f t="shared" ca="1" si="120"/>
        <v>1549.1057401548032</v>
      </c>
      <c r="G253" s="36">
        <f t="shared" ref="G253:AO253" si="153">IF($C$20="doyle",G104,IF($C$20="scribner",G153,G203))</f>
        <v>2.7312500000000002</v>
      </c>
      <c r="H253" s="2">
        <f t="shared" si="153"/>
        <v>235.0254215434839</v>
      </c>
      <c r="I253" s="43">
        <f t="shared" si="153"/>
        <v>222.88187928907223</v>
      </c>
      <c r="J253" s="43">
        <f t="shared" si="153"/>
        <v>70.949356344070665</v>
      </c>
      <c r="K253" s="43">
        <f t="shared" si="153"/>
        <v>68.847372411702082</v>
      </c>
      <c r="L253" s="43">
        <f t="shared" si="153"/>
        <v>164.07606519941322</v>
      </c>
      <c r="M253" s="43">
        <f t="shared" si="153"/>
        <v>154.03450687737015</v>
      </c>
      <c r="N253" s="40">
        <f t="shared" si="153"/>
        <v>429.75</v>
      </c>
      <c r="O253" s="40">
        <f t="shared" si="153"/>
        <v>321.25</v>
      </c>
      <c r="P253" s="40">
        <f t="shared" si="153"/>
        <v>30.49048588886437</v>
      </c>
      <c r="Q253" s="40">
        <f t="shared" si="153"/>
        <v>52.709435945311498</v>
      </c>
      <c r="R253" s="19">
        <f t="shared" si="153"/>
        <v>-12.479988275126379</v>
      </c>
      <c r="S253" s="40">
        <f t="shared" si="153"/>
        <v>141.8175</v>
      </c>
      <c r="T253" s="40">
        <f t="shared" si="153"/>
        <v>321.25</v>
      </c>
      <c r="U253" s="40">
        <f t="shared" si="153"/>
        <v>9.7637622369965591</v>
      </c>
      <c r="V253" s="40">
        <f t="shared" si="153"/>
        <v>49.483585334355155</v>
      </c>
      <c r="W253" s="19">
        <f t="shared" si="153"/>
        <v>-8.8871021357027562</v>
      </c>
      <c r="X253" s="19">
        <f t="shared" si="153"/>
        <v>25.507918588734064</v>
      </c>
      <c r="Y253" s="19">
        <f t="shared" si="153"/>
        <v>21.369880349033274</v>
      </c>
      <c r="Z253" s="40">
        <f t="shared" si="153"/>
        <v>0.5</v>
      </c>
      <c r="AA253" s="19">
        <f t="shared" si="153"/>
        <v>-7.4999999999999997E-2</v>
      </c>
      <c r="AB253" s="19">
        <f t="shared" si="153"/>
        <v>0.15329292399801406</v>
      </c>
      <c r="AC253" s="40">
        <f t="shared" si="153"/>
        <v>7.2176769000496392</v>
      </c>
      <c r="AD253" s="19">
        <f t="shared" si="153"/>
        <v>-6.5789716087618272E-2</v>
      </c>
      <c r="AE253" s="40">
        <f t="shared" si="153"/>
        <v>-2.4725818944285933</v>
      </c>
      <c r="AF253" s="19">
        <f t="shared" si="153"/>
        <v>-1.5789531861028383E-2</v>
      </c>
      <c r="AG253" s="40">
        <f t="shared" si="153"/>
        <v>-0.59341965466286239</v>
      </c>
      <c r="AH253" s="40">
        <f t="shared" si="153"/>
        <v>4.9588009001145785</v>
      </c>
      <c r="AI253" s="40">
        <f t="shared" si="153"/>
        <v>12.07618076942005</v>
      </c>
      <c r="AJ253" s="40">
        <f t="shared" si="153"/>
        <v>-16.411079448918695</v>
      </c>
      <c r="AK253" s="40">
        <f t="shared" si="153"/>
        <v>-9.2936995796132216</v>
      </c>
      <c r="AL253" s="40">
        <f t="shared" si="153"/>
        <v>23.035336694305471</v>
      </c>
      <c r="AM253" s="40">
        <f t="shared" si="153"/>
        <v>27.994137594420049</v>
      </c>
      <c r="AN253" s="40">
        <f t="shared" si="153"/>
        <v>15.917956824999999</v>
      </c>
      <c r="AO253" s="40">
        <f t="shared" si="153"/>
        <v>6.6242572453867767</v>
      </c>
      <c r="AP253" s="17"/>
      <c r="AS253" s="16">
        <f t="shared" si="122"/>
        <v>6.6242572453867767</v>
      </c>
      <c r="AT253" s="16">
        <f t="shared" si="123"/>
        <v>23.035336694305471</v>
      </c>
      <c r="AU253" s="40">
        <f t="shared" si="128"/>
        <v>-16.411079448918695</v>
      </c>
    </row>
    <row r="254" spans="2:47" x14ac:dyDescent="0.2">
      <c r="B254" s="2">
        <v>28</v>
      </c>
      <c r="C254" s="63">
        <f t="shared" ca="1" si="124"/>
        <v>51881.383684953704</v>
      </c>
      <c r="D254" s="36">
        <f t="shared" si="125"/>
        <v>16.700000000000003</v>
      </c>
      <c r="E254" s="36">
        <f t="shared" si="126"/>
        <v>16.429999999999996</v>
      </c>
      <c r="F254" s="36">
        <f t="shared" ca="1" si="120"/>
        <v>1560.5119901548032</v>
      </c>
      <c r="G254" s="36">
        <f t="shared" ref="G254:AO254" si="154">IF($C$20="doyle",G105,IF($C$20="scribner",G154,G204))</f>
        <v>2.7593749999999999</v>
      </c>
      <c r="H254" s="2">
        <f t="shared" si="154"/>
        <v>239.41666952265732</v>
      </c>
      <c r="I254" s="43">
        <f t="shared" si="154"/>
        <v>226.70941401426273</v>
      </c>
      <c r="J254" s="43">
        <f t="shared" si="154"/>
        <v>71.659546216099372</v>
      </c>
      <c r="K254" s="43">
        <f t="shared" si="154"/>
        <v>69.477891093890278</v>
      </c>
      <c r="L254" s="43">
        <f t="shared" si="154"/>
        <v>167.75712330655796</v>
      </c>
      <c r="M254" s="43">
        <f t="shared" si="154"/>
        <v>157.23152292037247</v>
      </c>
      <c r="N254" s="40">
        <f t="shared" si="154"/>
        <v>437.625</v>
      </c>
      <c r="O254" s="40">
        <f t="shared" si="154"/>
        <v>326.875</v>
      </c>
      <c r="P254" s="40">
        <f t="shared" si="154"/>
        <v>31.360008912820486</v>
      </c>
      <c r="Q254" s="40">
        <f t="shared" si="154"/>
        <v>54.835609680831134</v>
      </c>
      <c r="R254" s="19">
        <f t="shared" si="154"/>
        <v>-12.929342789047743</v>
      </c>
      <c r="S254" s="40">
        <f t="shared" si="154"/>
        <v>144.41624999999999</v>
      </c>
      <c r="T254" s="40">
        <f t="shared" si="154"/>
        <v>326.875</v>
      </c>
      <c r="U254" s="40">
        <f t="shared" si="154"/>
        <v>10.033736489688032</v>
      </c>
      <c r="V254" s="40">
        <f t="shared" si="154"/>
        <v>51.395054054596756</v>
      </c>
      <c r="W254" s="19">
        <f t="shared" si="154"/>
        <v>-9.2143185816427184</v>
      </c>
      <c r="X254" s="19">
        <f t="shared" si="154"/>
        <v>25.409958480843162</v>
      </c>
      <c r="Y254" s="19">
        <f t="shared" si="154"/>
        <v>21.304522443880028</v>
      </c>
      <c r="Z254" s="40">
        <f t="shared" si="154"/>
        <v>0.5</v>
      </c>
      <c r="AA254" s="19">
        <f t="shared" si="154"/>
        <v>-7.4999999999999997E-2</v>
      </c>
      <c r="AB254" s="19">
        <f t="shared" si="154"/>
        <v>0.14739704230578274</v>
      </c>
      <c r="AC254" s="40">
        <f t="shared" si="154"/>
        <v>7.3650739423554219</v>
      </c>
      <c r="AD254" s="19">
        <f t="shared" si="154"/>
        <v>-6.4091702160255642E-2</v>
      </c>
      <c r="AE254" s="40">
        <f t="shared" si="154"/>
        <v>-2.5366735965888489</v>
      </c>
      <c r="AF254" s="19">
        <f t="shared" si="154"/>
        <v>-1.5382008518461355E-2</v>
      </c>
      <c r="AG254" s="40">
        <f t="shared" si="154"/>
        <v>-0.60880166318132378</v>
      </c>
      <c r="AH254" s="40">
        <f t="shared" si="154"/>
        <v>5.1875098387998122</v>
      </c>
      <c r="AI254" s="40">
        <f t="shared" si="154"/>
        <v>12.142837898054127</v>
      </c>
      <c r="AJ254" s="40">
        <f t="shared" si="154"/>
        <v>-16.117012605080216</v>
      </c>
      <c r="AK254" s="40">
        <f t="shared" si="154"/>
        <v>-9.1616845458259011</v>
      </c>
      <c r="AL254" s="40">
        <f t="shared" si="154"/>
        <v>22.873284884254314</v>
      </c>
      <c r="AM254" s="40">
        <f t="shared" si="154"/>
        <v>28.060794723054126</v>
      </c>
      <c r="AN254" s="40">
        <f t="shared" si="154"/>
        <v>15.917956824999999</v>
      </c>
      <c r="AO254" s="40">
        <f t="shared" si="154"/>
        <v>6.7562722791740981</v>
      </c>
      <c r="AP254" s="17"/>
      <c r="AS254" s="16">
        <f t="shared" si="122"/>
        <v>6.7562722791740981</v>
      </c>
      <c r="AT254" s="16">
        <f t="shared" si="123"/>
        <v>22.873284884254314</v>
      </c>
      <c r="AU254" s="40">
        <f t="shared" si="128"/>
        <v>-16.117012605080216</v>
      </c>
    </row>
    <row r="255" spans="2:47" x14ac:dyDescent="0.2">
      <c r="B255" s="2">
        <v>29</v>
      </c>
      <c r="C255" s="63">
        <f t="shared" ca="1" si="124"/>
        <v>52246.383684953704</v>
      </c>
      <c r="D255" s="36">
        <f t="shared" si="125"/>
        <v>16.800000000000004</v>
      </c>
      <c r="E255" s="36">
        <f t="shared" si="126"/>
        <v>16.519999999999996</v>
      </c>
      <c r="F255" s="36">
        <f t="shared" ca="1" si="120"/>
        <v>1571.9182401548032</v>
      </c>
      <c r="G255" s="36">
        <f t="shared" ref="G255:AO255" si="155">IF($C$20="doyle",G106,IF($C$20="scribner",G155,G205))</f>
        <v>2.7875000000000001</v>
      </c>
      <c r="H255" s="2">
        <f t="shared" si="155"/>
        <v>243.82906696475081</v>
      </c>
      <c r="I255" s="43">
        <f t="shared" si="155"/>
        <v>230.55223020589006</v>
      </c>
      <c r="J255" s="43">
        <f t="shared" si="155"/>
        <v>72.365753078046197</v>
      </c>
      <c r="K255" s="43">
        <f t="shared" si="155"/>
        <v>70.104630889053681</v>
      </c>
      <c r="L255" s="43">
        <f t="shared" si="155"/>
        <v>171.46331388670461</v>
      </c>
      <c r="M255" s="43">
        <f t="shared" si="155"/>
        <v>160.44759931683637</v>
      </c>
      <c r="N255" s="40">
        <f t="shared" si="155"/>
        <v>445.5</v>
      </c>
      <c r="O255" s="40">
        <f t="shared" si="155"/>
        <v>332.5</v>
      </c>
      <c r="P255" s="40">
        <f t="shared" si="155"/>
        <v>32.238942996269579</v>
      </c>
      <c r="Q255" s="40">
        <f t="shared" si="155"/>
        <v>57.011551867329288</v>
      </c>
      <c r="R255" s="19">
        <f t="shared" si="155"/>
        <v>-13.387574229539831</v>
      </c>
      <c r="S255" s="40">
        <f t="shared" si="155"/>
        <v>147.01499999999999</v>
      </c>
      <c r="T255" s="40">
        <f t="shared" si="155"/>
        <v>332.5</v>
      </c>
      <c r="U255" s="40">
        <f t="shared" si="155"/>
        <v>10.306432310154225</v>
      </c>
      <c r="V255" s="40">
        <f t="shared" si="155"/>
        <v>53.348826772848099</v>
      </c>
      <c r="W255" s="19">
        <f t="shared" si="155"/>
        <v>-9.548288862450347</v>
      </c>
      <c r="X255" s="19">
        <f t="shared" si="155"/>
        <v>25.298574936965242</v>
      </c>
      <c r="Y255" s="19">
        <f t="shared" si="155"/>
        <v>21.227594832676136</v>
      </c>
      <c r="Z255" s="40">
        <f t="shared" si="155"/>
        <v>0.5</v>
      </c>
      <c r="AA255" s="19">
        <f t="shared" si="155"/>
        <v>-7.4999999999999997E-2</v>
      </c>
      <c r="AB255" s="19">
        <f t="shared" si="155"/>
        <v>0.14172792529402184</v>
      </c>
      <c r="AC255" s="40">
        <f t="shared" si="155"/>
        <v>7.5068018676494441</v>
      </c>
      <c r="AD255" s="19">
        <f t="shared" si="155"/>
        <v>-6.2426982623625608E-2</v>
      </c>
      <c r="AE255" s="40">
        <f t="shared" si="155"/>
        <v>-2.5991005792124744</v>
      </c>
      <c r="AF255" s="19">
        <f t="shared" si="155"/>
        <v>-1.4982475829670147E-2</v>
      </c>
      <c r="AG255" s="40">
        <f t="shared" si="155"/>
        <v>-0.62378413901099394</v>
      </c>
      <c r="AH255" s="40">
        <f t="shared" si="155"/>
        <v>5.4111382035618192</v>
      </c>
      <c r="AI255" s="40">
        <f t="shared" si="155"/>
        <v>12.192655736314586</v>
      </c>
      <c r="AJ255" s="40">
        <f t="shared" si="155"/>
        <v>-15.816456629114317</v>
      </c>
      <c r="AK255" s="40">
        <f t="shared" si="155"/>
        <v>-9.0349390963615495</v>
      </c>
      <c r="AL255" s="40">
        <f t="shared" si="155"/>
        <v>22.699474357752766</v>
      </c>
      <c r="AM255" s="40">
        <f t="shared" si="155"/>
        <v>28.110612561314586</v>
      </c>
      <c r="AN255" s="40">
        <f t="shared" si="155"/>
        <v>15.917956824999999</v>
      </c>
      <c r="AO255" s="40">
        <f t="shared" si="155"/>
        <v>6.8830177286384497</v>
      </c>
      <c r="AP255" s="17"/>
      <c r="AS255" s="16">
        <f t="shared" si="122"/>
        <v>6.8830177286384497</v>
      </c>
      <c r="AT255" s="16">
        <f t="shared" si="123"/>
        <v>22.699474357752766</v>
      </c>
      <c r="AU255" s="40">
        <f t="shared" si="128"/>
        <v>-15.816456629114317</v>
      </c>
    </row>
    <row r="256" spans="2:47" x14ac:dyDescent="0.2">
      <c r="B256" s="2">
        <v>30</v>
      </c>
      <c r="C256" s="63">
        <f t="shared" ca="1" si="124"/>
        <v>52611.383684953704</v>
      </c>
      <c r="D256" s="36">
        <f t="shared" si="125"/>
        <v>16.900000000000006</v>
      </c>
      <c r="E256" s="36">
        <f t="shared" si="126"/>
        <v>16.609999999999996</v>
      </c>
      <c r="F256" s="36">
        <f t="shared" ca="1" si="120"/>
        <v>1583.3244901548032</v>
      </c>
      <c r="G256" s="36">
        <f t="shared" ref="G256:AO256" si="156">IF($C$20="doyle",G107,IF($C$20="scribner",G156,G206))</f>
        <v>2.8156249999999998</v>
      </c>
      <c r="H256" s="2">
        <f t="shared" si="156"/>
        <v>248.26195811281397</v>
      </c>
      <c r="I256" s="43">
        <f t="shared" si="156"/>
        <v>234.4098145387162</v>
      </c>
      <c r="J256" s="43">
        <f t="shared" si="156"/>
        <v>73.067954694128005</v>
      </c>
      <c r="K256" s="43">
        <f t="shared" si="156"/>
        <v>70.727579312696562</v>
      </c>
      <c r="L256" s="43">
        <f t="shared" si="156"/>
        <v>175.19400341868595</v>
      </c>
      <c r="M256" s="43">
        <f t="shared" si="156"/>
        <v>163.68223522601966</v>
      </c>
      <c r="N256" s="40">
        <f t="shared" si="156"/>
        <v>453.375</v>
      </c>
      <c r="O256" s="40">
        <f t="shared" si="156"/>
        <v>338.125</v>
      </c>
      <c r="P256" s="40">
        <f t="shared" si="156"/>
        <v>33.127183959450285</v>
      </c>
      <c r="Q256" s="40">
        <f t="shared" si="156"/>
        <v>59.237472405943187</v>
      </c>
      <c r="R256" s="19">
        <f t="shared" si="156"/>
        <v>-13.85469845480902</v>
      </c>
      <c r="S256" s="40">
        <f t="shared" si="156"/>
        <v>149.61374999999998</v>
      </c>
      <c r="T256" s="40">
        <f t="shared" si="156"/>
        <v>338.125</v>
      </c>
      <c r="U256" s="40">
        <f t="shared" si="156"/>
        <v>10.581818369394954</v>
      </c>
      <c r="V256" s="40">
        <f t="shared" si="156"/>
        <v>55.345055785797896</v>
      </c>
      <c r="W256" s="19">
        <f t="shared" si="156"/>
        <v>-9.8890311232789276</v>
      </c>
      <c r="X256" s="19">
        <f t="shared" si="156"/>
        <v>25.174329071466314</v>
      </c>
      <c r="Y256" s="19">
        <f t="shared" si="156"/>
        <v>21.139545464107581</v>
      </c>
      <c r="Z256" s="40">
        <f t="shared" si="156"/>
        <v>0.5</v>
      </c>
      <c r="AA256" s="19">
        <f t="shared" si="156"/>
        <v>-7.4999999999999997E-2</v>
      </c>
      <c r="AB256" s="19">
        <f t="shared" si="156"/>
        <v>0.13627685124425176</v>
      </c>
      <c r="AC256" s="40">
        <f t="shared" si="156"/>
        <v>7.6430787188936957</v>
      </c>
      <c r="AD256" s="19">
        <f t="shared" si="156"/>
        <v>-6.0795508225670904E-2</v>
      </c>
      <c r="AE256" s="40">
        <f t="shared" si="156"/>
        <v>-2.6598960874381454</v>
      </c>
      <c r="AF256" s="19">
        <f t="shared" si="156"/>
        <v>-1.4590921974161014E-2</v>
      </c>
      <c r="AG256" s="40">
        <f t="shared" si="156"/>
        <v>-0.63837506098515495</v>
      </c>
      <c r="AH256" s="40">
        <f t="shared" si="156"/>
        <v>5.6298161379879517</v>
      </c>
      <c r="AI256" s="40">
        <f t="shared" si="156"/>
        <v>12.226292297016121</v>
      </c>
      <c r="AJ256" s="40">
        <f t="shared" si="156"/>
        <v>-15.509729326119627</v>
      </c>
      <c r="AK256" s="40">
        <f t="shared" si="156"/>
        <v>-8.9132531670914581</v>
      </c>
      <c r="AL256" s="40">
        <f t="shared" si="156"/>
        <v>22.514432984028169</v>
      </c>
      <c r="AM256" s="40">
        <f t="shared" si="156"/>
        <v>28.14424912201612</v>
      </c>
      <c r="AN256" s="40">
        <f t="shared" si="156"/>
        <v>15.917956824999999</v>
      </c>
      <c r="AO256" s="40">
        <f t="shared" si="156"/>
        <v>7.0047036579085411</v>
      </c>
      <c r="AP256" s="17"/>
      <c r="AS256" s="16">
        <f t="shared" si="122"/>
        <v>7.0047036579085411</v>
      </c>
      <c r="AT256" s="16">
        <f t="shared" si="123"/>
        <v>22.514432984028169</v>
      </c>
      <c r="AU256" s="40">
        <f t="shared" si="128"/>
        <v>-15.509729326119627</v>
      </c>
    </row>
    <row r="257" spans="2:47" x14ac:dyDescent="0.2">
      <c r="B257" s="2">
        <v>31</v>
      </c>
      <c r="C257" s="63">
        <f t="shared" ca="1" si="124"/>
        <v>52976.383684953704</v>
      </c>
      <c r="D257" s="36">
        <f t="shared" si="125"/>
        <v>17.000000000000007</v>
      </c>
      <c r="E257" s="36">
        <f t="shared" si="126"/>
        <v>16.699999999999996</v>
      </c>
      <c r="F257" s="36">
        <f t="shared" ca="1" si="120"/>
        <v>1594.7307401548032</v>
      </c>
      <c r="G257" s="36">
        <f t="shared" ref="G257:AO257" si="157">IF($C$20="doyle",G108,IF($C$20="scribner",G157,G207))</f>
        <v>2.84375</v>
      </c>
      <c r="H257" s="2">
        <f t="shared" si="157"/>
        <v>252.71469025264622</v>
      </c>
      <c r="I257" s="43">
        <f t="shared" si="157"/>
        <v>238.28165679559831</v>
      </c>
      <c r="J257" s="43">
        <f t="shared" si="157"/>
        <v>73.766130286030659</v>
      </c>
      <c r="K257" s="43">
        <f t="shared" si="157"/>
        <v>71.346725005608221</v>
      </c>
      <c r="L257" s="43">
        <f t="shared" si="157"/>
        <v>178.94855996661556</v>
      </c>
      <c r="M257" s="43">
        <f t="shared" si="157"/>
        <v>166.93493178999009</v>
      </c>
      <c r="N257" s="40">
        <f t="shared" si="157"/>
        <v>461.25</v>
      </c>
      <c r="O257" s="40">
        <f t="shared" si="157"/>
        <v>343.75</v>
      </c>
      <c r="P257" s="40">
        <f t="shared" si="157"/>
        <v>34.024627594431642</v>
      </c>
      <c r="Q257" s="40">
        <f t="shared" si="157"/>
        <v>61.513567488524103</v>
      </c>
      <c r="R257" s="19">
        <f t="shared" si="157"/>
        <v>-14.330729262443363</v>
      </c>
      <c r="S257" s="40">
        <f t="shared" si="157"/>
        <v>152.21249999999998</v>
      </c>
      <c r="T257" s="40">
        <f t="shared" si="157"/>
        <v>343.75</v>
      </c>
      <c r="U257" s="40">
        <f t="shared" si="157"/>
        <v>10.85986337991614</v>
      </c>
      <c r="V257" s="40">
        <f t="shared" si="157"/>
        <v>57.38388280280909</v>
      </c>
      <c r="W257" s="19">
        <f t="shared" si="157"/>
        <v>-10.236561927408784</v>
      </c>
      <c r="X257" s="19">
        <f t="shared" si="157"/>
        <v>25.037777691277441</v>
      </c>
      <c r="Y257" s="19">
        <f t="shared" si="157"/>
        <v>21.040820920574031</v>
      </c>
      <c r="Z257" s="40">
        <f t="shared" si="157"/>
        <v>0.5</v>
      </c>
      <c r="AA257" s="19">
        <f t="shared" si="157"/>
        <v>-7.4999999999999997E-2</v>
      </c>
      <c r="AB257" s="19">
        <f t="shared" si="157"/>
        <v>0.13103543388870362</v>
      </c>
      <c r="AC257" s="40">
        <f t="shared" si="157"/>
        <v>7.7741141527823991</v>
      </c>
      <c r="AD257" s="19">
        <f t="shared" si="157"/>
        <v>-5.9197184250896699E-2</v>
      </c>
      <c r="AE257" s="40">
        <f t="shared" si="157"/>
        <v>-2.7190932716890419</v>
      </c>
      <c r="AF257" s="19">
        <f t="shared" si="157"/>
        <v>-1.4207324220215208E-2</v>
      </c>
      <c r="AG257" s="40">
        <f t="shared" si="157"/>
        <v>-0.65258238520537015</v>
      </c>
      <c r="AH257" s="40">
        <f t="shared" si="157"/>
        <v>5.8436682685626593</v>
      </c>
      <c r="AI257" s="40">
        <f t="shared" si="157"/>
        <v>12.244395863151061</v>
      </c>
      <c r="AJ257" s="40">
        <f t="shared" si="157"/>
        <v>-15.197152652011372</v>
      </c>
      <c r="AK257" s="40">
        <f t="shared" si="157"/>
        <v>-8.7964250574229705</v>
      </c>
      <c r="AL257" s="40">
        <f t="shared" si="157"/>
        <v>22.318684419588401</v>
      </c>
      <c r="AM257" s="40">
        <f t="shared" si="157"/>
        <v>28.16235268815106</v>
      </c>
      <c r="AN257" s="40">
        <f t="shared" si="157"/>
        <v>15.917956824999999</v>
      </c>
      <c r="AO257" s="40">
        <f t="shared" si="157"/>
        <v>7.1215317675770287</v>
      </c>
      <c r="AP257" s="17"/>
      <c r="AS257" s="16">
        <f t="shared" si="122"/>
        <v>7.1215317675770287</v>
      </c>
      <c r="AT257" s="16">
        <f t="shared" si="123"/>
        <v>22.318684419588401</v>
      </c>
      <c r="AU257" s="40">
        <f t="shared" si="128"/>
        <v>-15.197152652011372</v>
      </c>
    </row>
    <row r="258" spans="2:47" x14ac:dyDescent="0.2">
      <c r="B258" s="2">
        <v>32</v>
      </c>
      <c r="C258" s="63">
        <f t="shared" ca="1" si="124"/>
        <v>53341.383684953704</v>
      </c>
      <c r="D258" s="36">
        <f t="shared" si="125"/>
        <v>17.100000000000009</v>
      </c>
      <c r="E258" s="36">
        <f t="shared" si="126"/>
        <v>16.789999999999996</v>
      </c>
      <c r="F258" s="36">
        <f t="shared" ca="1" si="120"/>
        <v>1606.1369901548032</v>
      </c>
      <c r="G258" s="36">
        <f t="shared" ref="G258:AO258" si="158">IF($C$20="doyle",G109,IF($C$20="scribner",G158,G208))</f>
        <v>2.8718750000000002</v>
      </c>
      <c r="H258" s="2">
        <f t="shared" si="158"/>
        <v>257.1866138858984</v>
      </c>
      <c r="I258" s="43">
        <f t="shared" si="158"/>
        <v>242.16724997393797</v>
      </c>
      <c r="J258" s="43">
        <f t="shared" si="158"/>
        <v>74.460260493755555</v>
      </c>
      <c r="K258" s="43">
        <f t="shared" si="158"/>
        <v>71.962057702701117</v>
      </c>
      <c r="L258" s="43">
        <f t="shared" si="158"/>
        <v>182.72635339214284</v>
      </c>
      <c r="M258" s="43">
        <f t="shared" si="158"/>
        <v>170.20519227123685</v>
      </c>
      <c r="N258" s="40">
        <f t="shared" si="158"/>
        <v>469.125</v>
      </c>
      <c r="O258" s="40">
        <f t="shared" si="158"/>
        <v>349.375</v>
      </c>
      <c r="P258" s="40">
        <f t="shared" si="158"/>
        <v>34.931169704133076</v>
      </c>
      <c r="Q258" s="40">
        <f t="shared" si="158"/>
        <v>63.840019716379906</v>
      </c>
      <c r="R258" s="19">
        <f t="shared" si="158"/>
        <v>-14.815678413076947</v>
      </c>
      <c r="S258" s="40">
        <f t="shared" si="158"/>
        <v>154.81125</v>
      </c>
      <c r="T258" s="40">
        <f t="shared" si="158"/>
        <v>349.375</v>
      </c>
      <c r="U258" s="40">
        <f t="shared" si="158"/>
        <v>11.140536105527289</v>
      </c>
      <c r="V258" s="40">
        <f t="shared" si="158"/>
        <v>59.465439049763376</v>
      </c>
      <c r="W258" s="19">
        <f t="shared" si="158"/>
        <v>-10.5908962732936</v>
      </c>
      <c r="X258" s="19">
        <f t="shared" si="158"/>
        <v>24.889472425808176</v>
      </c>
      <c r="Y258" s="19">
        <f t="shared" si="158"/>
        <v>20.931865587349641</v>
      </c>
      <c r="Z258" s="40">
        <f t="shared" si="158"/>
        <v>0.5</v>
      </c>
      <c r="AA258" s="19">
        <f t="shared" si="158"/>
        <v>-7.4999999999999997E-2</v>
      </c>
      <c r="AB258" s="19">
        <f t="shared" si="158"/>
        <v>0.12599560950836888</v>
      </c>
      <c r="AC258" s="40">
        <f t="shared" si="158"/>
        <v>7.9001097622907679</v>
      </c>
      <c r="AD258" s="19">
        <f t="shared" si="158"/>
        <v>-5.763187409041625E-2</v>
      </c>
      <c r="AE258" s="40">
        <f t="shared" si="158"/>
        <v>-2.7767251457794582</v>
      </c>
      <c r="AF258" s="19">
        <f t="shared" si="158"/>
        <v>-1.3831649781699899E-2</v>
      </c>
      <c r="AG258" s="40">
        <f t="shared" si="158"/>
        <v>-0.66641403498707008</v>
      </c>
      <c r="AH258" s="40">
        <f t="shared" si="158"/>
        <v>6.0528140346246211</v>
      </c>
      <c r="AI258" s="40">
        <f t="shared" si="158"/>
        <v>12.247604489653339</v>
      </c>
      <c r="AJ258" s="40">
        <f t="shared" si="158"/>
        <v>-14.87905155272502</v>
      </c>
      <c r="AK258" s="40">
        <f t="shared" si="158"/>
        <v>-8.6842610976963002</v>
      </c>
      <c r="AL258" s="40">
        <f t="shared" si="158"/>
        <v>22.112747280028717</v>
      </c>
      <c r="AM258" s="40">
        <f t="shared" si="158"/>
        <v>28.165561314653338</v>
      </c>
      <c r="AN258" s="40">
        <f t="shared" si="158"/>
        <v>15.917956824999999</v>
      </c>
      <c r="AO258" s="40">
        <f t="shared" si="158"/>
        <v>7.2336957273036981</v>
      </c>
      <c r="AP258" s="17"/>
      <c r="AS258" s="16">
        <f t="shared" si="122"/>
        <v>7.2336957273036981</v>
      </c>
      <c r="AT258" s="16">
        <f t="shared" si="123"/>
        <v>22.112747280028717</v>
      </c>
      <c r="AU258" s="40">
        <f t="shared" si="128"/>
        <v>-14.87905155272502</v>
      </c>
    </row>
    <row r="259" spans="2:47" x14ac:dyDescent="0.2">
      <c r="B259" s="2">
        <v>33</v>
      </c>
      <c r="C259" s="63">
        <f t="shared" ca="1" si="124"/>
        <v>53706.383684953704</v>
      </c>
      <c r="D259" s="36">
        <f t="shared" si="125"/>
        <v>17.20000000000001</v>
      </c>
      <c r="E259" s="36">
        <f t="shared" si="126"/>
        <v>16.879999999999995</v>
      </c>
      <c r="F259" s="36">
        <f t="shared" ca="1" si="120"/>
        <v>1617.5432401548032</v>
      </c>
      <c r="G259" s="36">
        <f t="shared" ref="G259:AO259" si="159">IF($C$20="doyle",G110,IF($C$20="scribner",G159,G209))</f>
        <v>2.9</v>
      </c>
      <c r="H259" s="2">
        <f t="shared" si="159"/>
        <v>261.67708289510716</v>
      </c>
      <c r="I259" s="43">
        <f t="shared" si="159"/>
        <v>246.06609038668861</v>
      </c>
      <c r="J259" s="43">
        <f t="shared" si="159"/>
        <v>75.150327337346724</v>
      </c>
      <c r="K259" s="43">
        <f t="shared" si="159"/>
        <v>72.573568202557411</v>
      </c>
      <c r="L259" s="43">
        <f t="shared" si="159"/>
        <v>186.52675555776045</v>
      </c>
      <c r="M259" s="43">
        <f t="shared" si="159"/>
        <v>173.49252218413119</v>
      </c>
      <c r="N259" s="40">
        <f t="shared" si="159"/>
        <v>477</v>
      </c>
      <c r="O259" s="40">
        <f t="shared" si="159"/>
        <v>355</v>
      </c>
      <c r="P259" s="40">
        <f t="shared" si="159"/>
        <v>35.846706139914389</v>
      </c>
      <c r="Q259" s="40">
        <f t="shared" si="159"/>
        <v>66.216998223004964</v>
      </c>
      <c r="R259" s="19">
        <f t="shared" si="159"/>
        <v>-15.309555654437903</v>
      </c>
      <c r="S259" s="40">
        <f t="shared" si="159"/>
        <v>157.41</v>
      </c>
      <c r="T259" s="40">
        <f t="shared" si="159"/>
        <v>355</v>
      </c>
      <c r="U259" s="40">
        <f t="shared" si="159"/>
        <v>11.423805370764562</v>
      </c>
      <c r="V259" s="40">
        <f t="shared" si="159"/>
        <v>61.589845375366572</v>
      </c>
      <c r="W259" s="19">
        <f t="shared" si="159"/>
        <v>-10.952047611919669</v>
      </c>
      <c r="X259" s="19">
        <f t="shared" si="159"/>
        <v>24.72995892286152</v>
      </c>
      <c r="Y259" s="19">
        <f t="shared" si="159"/>
        <v>20.813120878257834</v>
      </c>
      <c r="Z259" s="40">
        <f t="shared" si="159"/>
        <v>0.5</v>
      </c>
      <c r="AA259" s="19">
        <f t="shared" si="159"/>
        <v>-7.4999999999999997E-2</v>
      </c>
      <c r="AB259" s="19">
        <f t="shared" si="159"/>
        <v>0.12114962452727775</v>
      </c>
      <c r="AC259" s="40">
        <f t="shared" si="159"/>
        <v>8.0212593868180448</v>
      </c>
      <c r="AD259" s="19">
        <f t="shared" si="159"/>
        <v>-5.6099402604631199E-2</v>
      </c>
      <c r="AE259" s="40">
        <f t="shared" si="159"/>
        <v>-2.8328245483840893</v>
      </c>
      <c r="AF259" s="19">
        <f t="shared" si="159"/>
        <v>-1.3463856625111488E-2</v>
      </c>
      <c r="AG259" s="40">
        <f t="shared" si="159"/>
        <v>-0.6798778916121816</v>
      </c>
      <c r="AH259" s="40">
        <f t="shared" si="159"/>
        <v>6.2573679989862647</v>
      </c>
      <c r="AI259" s="40">
        <f t="shared" si="159"/>
        <v>12.236545548463697</v>
      </c>
      <c r="AJ259" s="40">
        <f t="shared" si="159"/>
        <v>-14.555752879271569</v>
      </c>
      <c r="AK259" s="40">
        <f t="shared" si="159"/>
        <v>-8.5765753297941352</v>
      </c>
      <c r="AL259" s="40">
        <f t="shared" si="159"/>
        <v>21.897134374477432</v>
      </c>
      <c r="AM259" s="40">
        <f t="shared" si="159"/>
        <v>28.154502373463696</v>
      </c>
      <c r="AN259" s="40">
        <f t="shared" si="159"/>
        <v>15.917956824999999</v>
      </c>
      <c r="AO259" s="40">
        <f t="shared" si="159"/>
        <v>7.3413814952058631</v>
      </c>
      <c r="AP259" s="17"/>
      <c r="AS259" s="16">
        <f t="shared" si="122"/>
        <v>7.3413814952058631</v>
      </c>
      <c r="AT259" s="16">
        <f t="shared" si="123"/>
        <v>21.897134374477432</v>
      </c>
      <c r="AU259" s="40">
        <f t="shared" si="128"/>
        <v>-14.555752879271569</v>
      </c>
    </row>
    <row r="260" spans="2:47" x14ac:dyDescent="0.2">
      <c r="B260" s="2">
        <v>34</v>
      </c>
      <c r="C260" s="63">
        <f t="shared" ca="1" si="124"/>
        <v>54071.383684953704</v>
      </c>
      <c r="D260" s="36">
        <f t="shared" si="125"/>
        <v>17.300000000000011</v>
      </c>
      <c r="E260" s="36">
        <f t="shared" si="126"/>
        <v>16.969999999999995</v>
      </c>
      <c r="F260" s="36">
        <f t="shared" ca="1" si="120"/>
        <v>1628.9494901548032</v>
      </c>
      <c r="G260" s="36">
        <f t="shared" ref="G260:AO260" si="160">IF($C$20="doyle",G111,IF($C$20="scribner",G160,G210))</f>
        <v>2.9281250000000001</v>
      </c>
      <c r="H260" s="2">
        <f t="shared" si="160"/>
        <v>266.18545470091362</v>
      </c>
      <c r="I260" s="43">
        <f t="shared" si="160"/>
        <v>249.97767775808848</v>
      </c>
      <c r="J260" s="43">
        <f t="shared" si="160"/>
        <v>75.836314179480539</v>
      </c>
      <c r="K260" s="43">
        <f t="shared" si="160"/>
        <v>73.181248337667697</v>
      </c>
      <c r="L260" s="43">
        <f t="shared" si="160"/>
        <v>190.34914052143307</v>
      </c>
      <c r="M260" s="43">
        <f t="shared" si="160"/>
        <v>176.79642942042079</v>
      </c>
      <c r="N260" s="40">
        <f t="shared" si="160"/>
        <v>484.875</v>
      </c>
      <c r="O260" s="40">
        <f t="shared" si="160"/>
        <v>360.625</v>
      </c>
      <c r="P260" s="40">
        <f t="shared" si="160"/>
        <v>36.771132837775625</v>
      </c>
      <c r="Q260" s="40">
        <f t="shared" si="160"/>
        <v>68.644658800541791</v>
      </c>
      <c r="R260" s="19">
        <f t="shared" si="160"/>
        <v>-15.812368745747612</v>
      </c>
      <c r="S260" s="40">
        <f t="shared" si="160"/>
        <v>160.00874999999999</v>
      </c>
      <c r="T260" s="40">
        <f t="shared" si="160"/>
        <v>360.625</v>
      </c>
      <c r="U260" s="40">
        <f t="shared" si="160"/>
        <v>11.709640069949787</v>
      </c>
      <c r="V260" s="40">
        <f t="shared" si="160"/>
        <v>63.757212359739242</v>
      </c>
      <c r="W260" s="19">
        <f t="shared" si="160"/>
        <v>-11.320027864453353</v>
      </c>
      <c r="X260" s="19">
        <f t="shared" si="160"/>
        <v>24.559776108130578</v>
      </c>
      <c r="Y260" s="19">
        <f t="shared" si="160"/>
        <v>20.685024516091186</v>
      </c>
      <c r="Z260" s="40">
        <f t="shared" si="160"/>
        <v>0.5</v>
      </c>
      <c r="AA260" s="19">
        <f t="shared" si="160"/>
        <v>-7.4999999999999997E-2</v>
      </c>
      <c r="AB260" s="19">
        <f t="shared" si="160"/>
        <v>0.11649002358392091</v>
      </c>
      <c r="AC260" s="40">
        <f t="shared" si="160"/>
        <v>8.1377494104019661</v>
      </c>
      <c r="AD260" s="19">
        <f t="shared" si="160"/>
        <v>-5.459955928921658E-2</v>
      </c>
      <c r="AE260" s="40">
        <f t="shared" si="160"/>
        <v>-2.887424107673306</v>
      </c>
      <c r="AF260" s="19">
        <f t="shared" si="160"/>
        <v>-1.3103894229411977E-2</v>
      </c>
      <c r="AG260" s="40">
        <f t="shared" si="160"/>
        <v>-0.69298178584159353</v>
      </c>
      <c r="AH260" s="40">
        <f t="shared" si="160"/>
        <v>6.4574401401942865</v>
      </c>
      <c r="AI260" s="40">
        <f t="shared" si="160"/>
        <v>12.211835315651561</v>
      </c>
      <c r="AJ260" s="40">
        <f t="shared" si="160"/>
        <v>-14.2275843758969</v>
      </c>
      <c r="AK260" s="40">
        <f t="shared" si="160"/>
        <v>-8.4731892004396272</v>
      </c>
      <c r="AL260" s="40">
        <f t="shared" si="160"/>
        <v>21.672352000457273</v>
      </c>
      <c r="AM260" s="40">
        <f t="shared" si="160"/>
        <v>28.12979214065156</v>
      </c>
      <c r="AN260" s="40">
        <f t="shared" si="160"/>
        <v>15.917956824999999</v>
      </c>
      <c r="AO260" s="40">
        <f t="shared" si="160"/>
        <v>7.4447676245603729</v>
      </c>
      <c r="AP260" s="17"/>
      <c r="AS260" s="16">
        <f t="shared" si="122"/>
        <v>7.4447676245603729</v>
      </c>
      <c r="AT260" s="16">
        <f t="shared" si="123"/>
        <v>21.672352000457273</v>
      </c>
      <c r="AU260" s="40">
        <f t="shared" si="128"/>
        <v>-14.2275843758969</v>
      </c>
    </row>
    <row r="261" spans="2:47" x14ac:dyDescent="0.2">
      <c r="B261" s="2">
        <v>35</v>
      </c>
      <c r="C261" s="63">
        <f t="shared" ca="1" si="124"/>
        <v>54436.383684953704</v>
      </c>
      <c r="D261" s="36">
        <f t="shared" si="125"/>
        <v>17.400000000000013</v>
      </c>
      <c r="E261" s="36">
        <f t="shared" si="126"/>
        <v>17.059999999999995</v>
      </c>
      <c r="F261" s="36">
        <f t="shared" ca="1" si="120"/>
        <v>1640.3557401548032</v>
      </c>
      <c r="G261" s="36">
        <f t="shared" ref="G261:AO261" si="161">IF($C$20="doyle",G112,IF($C$20="scribner",G161,G211))</f>
        <v>2.9562499999999998</v>
      </c>
      <c r="H261" s="2">
        <f t="shared" si="161"/>
        <v>270.71109041170251</v>
      </c>
      <c r="I261" s="43">
        <f t="shared" si="161"/>
        <v>253.9015153142862</v>
      </c>
      <c r="J261" s="43">
        <f t="shared" si="161"/>
        <v>76.518205688898618</v>
      </c>
      <c r="K261" s="43">
        <f t="shared" si="161"/>
        <v>73.785090945348429</v>
      </c>
      <c r="L261" s="43">
        <f t="shared" si="161"/>
        <v>194.19288472280391</v>
      </c>
      <c r="M261" s="43">
        <f t="shared" si="161"/>
        <v>180.11642436893777</v>
      </c>
      <c r="N261" s="40">
        <f t="shared" si="161"/>
        <v>492.75</v>
      </c>
      <c r="O261" s="40">
        <f t="shared" si="161"/>
        <v>366.25</v>
      </c>
      <c r="P261" s="40">
        <f t="shared" si="161"/>
        <v>37.704345853204799</v>
      </c>
      <c r="Q261" s="40">
        <f t="shared" si="161"/>
        <v>71.12314402972693</v>
      </c>
      <c r="R261" s="19">
        <f t="shared" si="161"/>
        <v>-16.324123482439759</v>
      </c>
      <c r="S261" s="40">
        <f t="shared" si="161"/>
        <v>162.60750000000002</v>
      </c>
      <c r="T261" s="40">
        <f t="shared" si="161"/>
        <v>366.25</v>
      </c>
      <c r="U261" s="40">
        <f t="shared" si="161"/>
        <v>11.998009175895746</v>
      </c>
      <c r="V261" s="40">
        <f t="shared" si="161"/>
        <v>65.967640425123463</v>
      </c>
      <c r="W261" s="19">
        <f t="shared" si="161"/>
        <v>-11.694847440152881</v>
      </c>
      <c r="X261" s="19">
        <f t="shared" si="161"/>
        <v>24.37945550584929</v>
      </c>
      <c r="Y261" s="19">
        <f t="shared" si="161"/>
        <v>20.548009865969323</v>
      </c>
      <c r="Z261" s="40">
        <f t="shared" si="161"/>
        <v>0.5</v>
      </c>
      <c r="AA261" s="19">
        <f t="shared" si="161"/>
        <v>-7.4999999999999997E-2</v>
      </c>
      <c r="AB261" s="19">
        <f t="shared" si="161"/>
        <v>0.1120096380614624</v>
      </c>
      <c r="AC261" s="40">
        <f t="shared" si="161"/>
        <v>8.249759048463428</v>
      </c>
      <c r="AD261" s="19">
        <f t="shared" si="161"/>
        <v>-5.313210125456664E-2</v>
      </c>
      <c r="AE261" s="40">
        <f t="shared" si="161"/>
        <v>-2.9405562089278727</v>
      </c>
      <c r="AF261" s="19">
        <f t="shared" si="161"/>
        <v>-1.2751704301095993E-2</v>
      </c>
      <c r="AG261" s="40">
        <f t="shared" si="161"/>
        <v>-0.70573349014268949</v>
      </c>
      <c r="AH261" s="40">
        <f t="shared" si="161"/>
        <v>6.6531361273686436</v>
      </c>
      <c r="AI261" s="40">
        <f t="shared" si="161"/>
        <v>12.174078599290061</v>
      </c>
      <c r="AJ261" s="40">
        <f t="shared" si="161"/>
        <v>-13.894873738600678</v>
      </c>
      <c r="AK261" s="40">
        <f t="shared" si="161"/>
        <v>-8.3739312666792607</v>
      </c>
      <c r="AL261" s="40">
        <f t="shared" si="161"/>
        <v>21.438899296921416</v>
      </c>
      <c r="AM261" s="40">
        <f t="shared" si="161"/>
        <v>28.09203542429006</v>
      </c>
      <c r="AN261" s="40">
        <f t="shared" si="161"/>
        <v>15.917956824999999</v>
      </c>
      <c r="AO261" s="40">
        <f t="shared" si="161"/>
        <v>7.5440255583207385</v>
      </c>
      <c r="AP261" s="17"/>
      <c r="AS261" s="16">
        <f t="shared" si="122"/>
        <v>7.5440255583207385</v>
      </c>
      <c r="AT261" s="16">
        <f t="shared" si="123"/>
        <v>21.438899296921416</v>
      </c>
      <c r="AU261" s="40">
        <f t="shared" si="128"/>
        <v>-13.894873738600678</v>
      </c>
    </row>
    <row r="262" spans="2:47" x14ac:dyDescent="0.2">
      <c r="B262" s="2">
        <v>36</v>
      </c>
      <c r="C262" s="63">
        <f t="shared" ca="1" si="124"/>
        <v>54801.383684953704</v>
      </c>
      <c r="D262" s="36">
        <f t="shared" si="125"/>
        <v>17.500000000000014</v>
      </c>
      <c r="E262" s="36">
        <f t="shared" si="126"/>
        <v>17.149999999999995</v>
      </c>
      <c r="F262" s="36">
        <f t="shared" ca="1" si="120"/>
        <v>1651.7619901548032</v>
      </c>
      <c r="G262" s="36">
        <f t="shared" ref="G262:AO262" si="162">IF($C$20="doyle",G113,IF($C$20="scribner",G162,G212))</f>
        <v>2.984375</v>
      </c>
      <c r="H262" s="2">
        <f t="shared" si="162"/>
        <v>275.25335496590236</v>
      </c>
      <c r="I262" s="43">
        <f t="shared" si="162"/>
        <v>257.83710986902395</v>
      </c>
      <c r="J262" s="43">
        <f t="shared" si="162"/>
        <v>77.195987804667624</v>
      </c>
      <c r="K262" s="43">
        <f t="shared" si="162"/>
        <v>74.385089839322902</v>
      </c>
      <c r="L262" s="43">
        <f t="shared" si="162"/>
        <v>198.05736716123474</v>
      </c>
      <c r="M262" s="43">
        <f t="shared" si="162"/>
        <v>183.45202002970103</v>
      </c>
      <c r="N262" s="40">
        <f t="shared" si="162"/>
        <v>500.625</v>
      </c>
      <c r="O262" s="40">
        <f t="shared" si="162"/>
        <v>371.875</v>
      </c>
      <c r="P262" s="40">
        <f t="shared" si="162"/>
        <v>38.64624139471173</v>
      </c>
      <c r="Q262" s="40">
        <f t="shared" si="162"/>
        <v>73.652583413084173</v>
      </c>
      <c r="R262" s="19">
        <f t="shared" si="162"/>
        <v>-16.844823721169387</v>
      </c>
      <c r="S262" s="40">
        <f t="shared" si="162"/>
        <v>165.20625000000001</v>
      </c>
      <c r="T262" s="40">
        <f t="shared" si="162"/>
        <v>371.875</v>
      </c>
      <c r="U262" s="40">
        <f t="shared" si="162"/>
        <v>12.28888174826764</v>
      </c>
      <c r="V262" s="40">
        <f t="shared" si="162"/>
        <v>68.22121994854507</v>
      </c>
      <c r="W262" s="19">
        <f t="shared" si="162"/>
        <v>-12.076515254521906</v>
      </c>
      <c r="X262" s="19">
        <f t="shared" si="162"/>
        <v>24.189520618170757</v>
      </c>
      <c r="Y262" s="19">
        <f t="shared" si="162"/>
        <v>20.402505319799822</v>
      </c>
      <c r="Z262" s="40">
        <f t="shared" si="162"/>
        <v>0.5</v>
      </c>
      <c r="AA262" s="19">
        <f t="shared" si="162"/>
        <v>-7.4999999999999997E-2</v>
      </c>
      <c r="AB262" s="19">
        <f t="shared" si="162"/>
        <v>0.10770157505909846</v>
      </c>
      <c r="AC262" s="40">
        <f t="shared" si="162"/>
        <v>8.3574606235225257</v>
      </c>
      <c r="AD262" s="19">
        <f t="shared" si="162"/>
        <v>-5.1696756028367263E-2</v>
      </c>
      <c r="AE262" s="40">
        <f t="shared" si="162"/>
        <v>-2.9922529649562399</v>
      </c>
      <c r="AF262" s="19">
        <f t="shared" si="162"/>
        <v>-1.240722144680814E-2</v>
      </c>
      <c r="AG262" s="40">
        <f t="shared" si="162"/>
        <v>-0.71814071158949766</v>
      </c>
      <c r="AH262" s="40">
        <f t="shared" si="162"/>
        <v>6.8445575785183337</v>
      </c>
      <c r="AI262" s="40">
        <f t="shared" si="162"/>
        <v>12.123868406732852</v>
      </c>
      <c r="AJ262" s="40">
        <f t="shared" si="162"/>
        <v>-13.557947741281488</v>
      </c>
      <c r="AK262" s="40">
        <f t="shared" si="162"/>
        <v>-8.2786369130669719</v>
      </c>
      <c r="AL262" s="40">
        <f t="shared" si="162"/>
        <v>21.197267653214517</v>
      </c>
      <c r="AM262" s="40">
        <f t="shared" si="162"/>
        <v>28.041825231732851</v>
      </c>
      <c r="AN262" s="40">
        <f t="shared" si="162"/>
        <v>15.917956824999999</v>
      </c>
      <c r="AO262" s="40">
        <f t="shared" si="162"/>
        <v>7.6393199119330282</v>
      </c>
      <c r="AP262" s="17"/>
      <c r="AS262" s="16">
        <f t="shared" si="122"/>
        <v>7.6393199119330282</v>
      </c>
      <c r="AT262" s="16">
        <f t="shared" si="123"/>
        <v>21.197267653214517</v>
      </c>
      <c r="AU262" s="40">
        <f t="shared" si="128"/>
        <v>-13.557947741281488</v>
      </c>
    </row>
    <row r="263" spans="2:47" x14ac:dyDescent="0.2">
      <c r="B263" s="2">
        <v>37</v>
      </c>
      <c r="C263" s="63">
        <f t="shared" ca="1" si="124"/>
        <v>55166.383684953704</v>
      </c>
      <c r="D263" s="36">
        <f t="shared" si="125"/>
        <v>17.600000000000016</v>
      </c>
      <c r="E263" s="36">
        <f t="shared" si="126"/>
        <v>17.239999999999995</v>
      </c>
      <c r="F263" s="36">
        <f t="shared" ca="1" si="120"/>
        <v>1663.1682401548032</v>
      </c>
      <c r="G263" s="36">
        <f t="shared" ref="G263:AO263" si="163">IF($C$20="doyle",G114,IF($C$20="scribner",G163,G213))</f>
        <v>3.0125000000000002</v>
      </c>
      <c r="H263" s="2">
        <f t="shared" si="163"/>
        <v>279.81161726717255</v>
      </c>
      <c r="I263" s="43">
        <f t="shared" si="163"/>
        <v>261.78397190453086</v>
      </c>
      <c r="J263" s="43">
        <f t="shared" si="163"/>
        <v>77.86964770124726</v>
      </c>
      <c r="K263" s="43">
        <f t="shared" si="163"/>
        <v>74.981239781951984</v>
      </c>
      <c r="L263" s="43">
        <f t="shared" si="163"/>
        <v>201.94196956592529</v>
      </c>
      <c r="M263" s="43">
        <f t="shared" si="163"/>
        <v>186.80273212257887</v>
      </c>
      <c r="N263" s="40">
        <f t="shared" si="163"/>
        <v>508.5</v>
      </c>
      <c r="O263" s="40">
        <f t="shared" si="163"/>
        <v>377.5</v>
      </c>
      <c r="P263" s="40">
        <f t="shared" si="163"/>
        <v>39.596715856084231</v>
      </c>
      <c r="Q263" s="40">
        <f t="shared" si="163"/>
        <v>76.233093511136801</v>
      </c>
      <c r="R263" s="19">
        <f t="shared" si="163"/>
        <v>-17.374471405083153</v>
      </c>
      <c r="S263" s="40">
        <f t="shared" si="163"/>
        <v>167.80500000000001</v>
      </c>
      <c r="T263" s="40">
        <f t="shared" si="163"/>
        <v>377.5</v>
      </c>
      <c r="U263" s="40">
        <f t="shared" si="163"/>
        <v>12.582226941610454</v>
      </c>
      <c r="V263" s="40">
        <f t="shared" si="163"/>
        <v>70.518031376273527</v>
      </c>
      <c r="W263" s="19">
        <f t="shared" si="163"/>
        <v>-12.465038747682597</v>
      </c>
      <c r="X263" s="19">
        <f t="shared" si="163"/>
        <v>23.990486360855428</v>
      </c>
      <c r="Y263" s="19">
        <f t="shared" si="163"/>
        <v>20.248933729986547</v>
      </c>
      <c r="Z263" s="40">
        <f t="shared" si="163"/>
        <v>0.5</v>
      </c>
      <c r="AA263" s="19">
        <f t="shared" si="163"/>
        <v>-7.4999999999999997E-2</v>
      </c>
      <c r="AB263" s="19">
        <f t="shared" si="163"/>
        <v>0.10355920678759468</v>
      </c>
      <c r="AC263" s="40">
        <f t="shared" si="163"/>
        <v>8.4610198303101196</v>
      </c>
      <c r="AD263" s="19">
        <f t="shared" si="163"/>
        <v>-5.0293224190493035E-2</v>
      </c>
      <c r="AE263" s="40">
        <f t="shared" si="163"/>
        <v>-3.0425461891467331</v>
      </c>
      <c r="AF263" s="19">
        <f t="shared" si="163"/>
        <v>-1.2070373805718329E-2</v>
      </c>
      <c r="AG263" s="40">
        <f t="shared" si="163"/>
        <v>-0.73021108539521595</v>
      </c>
      <c r="AH263" s="40">
        <f t="shared" si="163"/>
        <v>7.0318023031927588</v>
      </c>
      <c r="AI263" s="40">
        <f t="shared" si="163"/>
        <v>12.061785649901454</v>
      </c>
      <c r="AJ263" s="40">
        <f t="shared" si="163"/>
        <v>-13.217131426793792</v>
      </c>
      <c r="AK263" s="40">
        <f t="shared" si="163"/>
        <v>-8.1871480800850946</v>
      </c>
      <c r="AL263" s="40">
        <f t="shared" si="163"/>
        <v>20.947940171708694</v>
      </c>
      <c r="AM263" s="40">
        <f t="shared" si="163"/>
        <v>27.979742474901453</v>
      </c>
      <c r="AN263" s="40">
        <f t="shared" si="163"/>
        <v>15.917956824999999</v>
      </c>
      <c r="AO263" s="40">
        <f t="shared" si="163"/>
        <v>7.7308087449149037</v>
      </c>
      <c r="AP263" s="17"/>
      <c r="AS263" s="16">
        <f t="shared" si="122"/>
        <v>7.7308087449149037</v>
      </c>
      <c r="AT263" s="16">
        <f t="shared" si="123"/>
        <v>20.947940171708694</v>
      </c>
      <c r="AU263" s="40">
        <f t="shared" si="128"/>
        <v>-13.217131426793792</v>
      </c>
    </row>
    <row r="264" spans="2:47" x14ac:dyDescent="0.2">
      <c r="B264" s="2">
        <v>38</v>
      </c>
      <c r="C264" s="63">
        <f t="shared" ca="1" si="124"/>
        <v>55531.383684953704</v>
      </c>
      <c r="D264" s="36">
        <f t="shared" si="125"/>
        <v>17.700000000000017</v>
      </c>
      <c r="E264" s="36">
        <f t="shared" si="126"/>
        <v>17.329999999999995</v>
      </c>
      <c r="F264" s="36">
        <f t="shared" ca="1" si="120"/>
        <v>1674.5744901548032</v>
      </c>
      <c r="G264" s="36">
        <f t="shared" ref="G264:AO264" si="164">IF($C$20="doyle",G115,IF($C$20="scribner",G164,G214))</f>
        <v>3.0406250000000004</v>
      </c>
      <c r="H264" s="2">
        <f t="shared" si="164"/>
        <v>284.38525031270018</v>
      </c>
      <c r="I264" s="43">
        <f t="shared" si="164"/>
        <v>265.74161564778507</v>
      </c>
      <c r="J264" s="43">
        <f t="shared" si="164"/>
        <v>78.539173754350244</v>
      </c>
      <c r="K264" s="43">
        <f t="shared" si="164"/>
        <v>75.573536457100985</v>
      </c>
      <c r="L264" s="43">
        <f t="shared" si="164"/>
        <v>205.84607655834992</v>
      </c>
      <c r="M264" s="43">
        <f t="shared" si="164"/>
        <v>190.16807919068407</v>
      </c>
      <c r="N264" s="40">
        <f t="shared" si="164"/>
        <v>516.375</v>
      </c>
      <c r="O264" s="40">
        <f t="shared" si="164"/>
        <v>383.125</v>
      </c>
      <c r="P264" s="40">
        <f t="shared" si="164"/>
        <v>40.555665847402608</v>
      </c>
      <c r="Q264" s="40">
        <f t="shared" si="164"/>
        <v>78.864778081417811</v>
      </c>
      <c r="R264" s="19">
        <f t="shared" si="164"/>
        <v>-17.913066589323062</v>
      </c>
      <c r="S264" s="40">
        <f t="shared" si="164"/>
        <v>170.40375</v>
      </c>
      <c r="T264" s="40">
        <f t="shared" si="164"/>
        <v>383.125</v>
      </c>
      <c r="U264" s="40">
        <f t="shared" si="164"/>
        <v>12.878014013051722</v>
      </c>
      <c r="V264" s="40">
        <f t="shared" si="164"/>
        <v>72.858145339930829</v>
      </c>
      <c r="W264" s="19">
        <f t="shared" si="164"/>
        <v>-12.860423902947383</v>
      </c>
      <c r="X264" s="19">
        <f t="shared" si="164"/>
        <v>23.782858552867435</v>
      </c>
      <c r="Y264" s="19">
        <f t="shared" si="164"/>
        <v>20.087711890519657</v>
      </c>
      <c r="Z264" s="40">
        <f t="shared" si="164"/>
        <v>0.5</v>
      </c>
      <c r="AA264" s="19">
        <f t="shared" si="164"/>
        <v>-7.4999999999999997E-2</v>
      </c>
      <c r="AB264" s="19">
        <f t="shared" si="164"/>
        <v>9.957616037268717E-2</v>
      </c>
      <c r="AC264" s="40">
        <f t="shared" si="164"/>
        <v>8.5605959906828062</v>
      </c>
      <c r="AD264" s="19">
        <f t="shared" si="164"/>
        <v>-4.8921181848981365E-2</v>
      </c>
      <c r="AE264" s="40">
        <f t="shared" si="164"/>
        <v>-3.0914673709957143</v>
      </c>
      <c r="AF264" s="19">
        <f t="shared" si="164"/>
        <v>-1.1741083643755526E-2</v>
      </c>
      <c r="AG264" s="40">
        <f t="shared" si="164"/>
        <v>-0.74195216903897143</v>
      </c>
      <c r="AH264" s="40">
        <f t="shared" si="164"/>
        <v>7.2149645302917733</v>
      </c>
      <c r="AI264" s="40">
        <f t="shared" si="164"/>
        <v>11.988398887163493</v>
      </c>
      <c r="AJ264" s="40">
        <f t="shared" si="164"/>
        <v>-12.872747360227883</v>
      </c>
      <c r="AK264" s="40">
        <f t="shared" si="164"/>
        <v>-8.0993130033561656</v>
      </c>
      <c r="AL264" s="40">
        <f t="shared" si="164"/>
        <v>20.691391181871719</v>
      </c>
      <c r="AM264" s="40">
        <f t="shared" si="164"/>
        <v>27.906355712163492</v>
      </c>
      <c r="AN264" s="40">
        <f t="shared" si="164"/>
        <v>15.917956824999999</v>
      </c>
      <c r="AO264" s="40">
        <f t="shared" si="164"/>
        <v>7.8186438216438345</v>
      </c>
      <c r="AP264" s="17"/>
      <c r="AS264" s="16">
        <f t="shared" si="122"/>
        <v>7.8186438216438345</v>
      </c>
      <c r="AT264" s="16">
        <f t="shared" si="123"/>
        <v>20.691391181871719</v>
      </c>
      <c r="AU264" s="40">
        <f t="shared" si="128"/>
        <v>-12.872747360227883</v>
      </c>
    </row>
    <row r="265" spans="2:47" x14ac:dyDescent="0.2">
      <c r="B265" s="2">
        <v>39</v>
      </c>
      <c r="C265" s="63">
        <f t="shared" ca="1" si="124"/>
        <v>55896.383684953704</v>
      </c>
      <c r="D265" s="36">
        <f t="shared" si="125"/>
        <v>17.800000000000018</v>
      </c>
      <c r="E265" s="36">
        <f t="shared" si="126"/>
        <v>17.419999999999995</v>
      </c>
      <c r="F265" s="36">
        <f t="shared" ca="1" si="120"/>
        <v>1685.9807401548032</v>
      </c>
      <c r="G265" s="36">
        <f t="shared" ref="G265:AO265" si="165">IF($C$20="doyle",G116,IF($C$20="scribner",G165,G215))</f>
        <v>3.0687500000000001</v>
      </c>
      <c r="H265" s="2">
        <f t="shared" si="165"/>
        <v>288.97363131482615</v>
      </c>
      <c r="I265" s="43">
        <f t="shared" si="165"/>
        <v>269.7095591422916</v>
      </c>
      <c r="J265" s="43">
        <f t="shared" si="165"/>
        <v>79.204555507577126</v>
      </c>
      <c r="K265" s="43">
        <f t="shared" si="165"/>
        <v>76.161976443628987</v>
      </c>
      <c r="L265" s="43">
        <f t="shared" si="165"/>
        <v>209.76907580724901</v>
      </c>
      <c r="M265" s="43">
        <f t="shared" si="165"/>
        <v>193.54758269866261</v>
      </c>
      <c r="N265" s="40">
        <f t="shared" si="165"/>
        <v>524.25</v>
      </c>
      <c r="O265" s="40">
        <f t="shared" si="165"/>
        <v>388.75</v>
      </c>
      <c r="P265" s="40">
        <f t="shared" si="165"/>
        <v>41.52298822484731</v>
      </c>
      <c r="Q265" s="40">
        <f t="shared" si="165"/>
        <v>81.547728220068052</v>
      </c>
      <c r="R265" s="19">
        <f t="shared" si="165"/>
        <v>-18.460607466737304</v>
      </c>
      <c r="S265" s="40">
        <f t="shared" si="165"/>
        <v>173.0025</v>
      </c>
      <c r="T265" s="40">
        <f t="shared" si="165"/>
        <v>388.75</v>
      </c>
      <c r="U265" s="40">
        <f t="shared" si="165"/>
        <v>13.176212329688925</v>
      </c>
      <c r="V265" s="40">
        <f t="shared" si="165"/>
        <v>75.241622774105082</v>
      </c>
      <c r="W265" s="19">
        <f t="shared" si="165"/>
        <v>-13.262675265569101</v>
      </c>
      <c r="X265" s="19">
        <f t="shared" si="165"/>
        <v>23.567133457500773</v>
      </c>
      <c r="Y265" s="19">
        <f t="shared" si="165"/>
        <v>19.91925006357738</v>
      </c>
      <c r="Z265" s="40">
        <f t="shared" si="165"/>
        <v>0.5</v>
      </c>
      <c r="AA265" s="19">
        <f t="shared" si="165"/>
        <v>-7.4999999999999997E-2</v>
      </c>
      <c r="AB265" s="19">
        <f t="shared" si="165"/>
        <v>9.5746308050660756E-2</v>
      </c>
      <c r="AC265" s="40">
        <f t="shared" si="165"/>
        <v>8.6563422987334668</v>
      </c>
      <c r="AD265" s="19">
        <f t="shared" si="165"/>
        <v>-4.7580282965410711E-2</v>
      </c>
      <c r="AE265" s="40">
        <f t="shared" si="165"/>
        <v>-3.139047653961125</v>
      </c>
      <c r="AF265" s="19">
        <f t="shared" si="165"/>
        <v>-1.1419267911698569E-2</v>
      </c>
      <c r="AG265" s="40">
        <f t="shared" si="165"/>
        <v>-0.75337143695066999</v>
      </c>
      <c r="AH265" s="40">
        <f t="shared" si="165"/>
        <v>7.3941351218205291</v>
      </c>
      <c r="AI265" s="40">
        <f t="shared" si="165"/>
        <v>11.904264100360178</v>
      </c>
      <c r="AJ265" s="40">
        <f t="shared" si="165"/>
        <v>-12.525114941756851</v>
      </c>
      <c r="AK265" s="40">
        <f t="shared" si="165"/>
        <v>-8.0149859632172031</v>
      </c>
      <c r="AL265" s="40">
        <f t="shared" si="165"/>
        <v>20.428085803539648</v>
      </c>
      <c r="AM265" s="40">
        <f t="shared" si="165"/>
        <v>27.822220925360178</v>
      </c>
      <c r="AN265" s="40">
        <f t="shared" si="165"/>
        <v>15.917956824999999</v>
      </c>
      <c r="AO265" s="40">
        <f t="shared" si="165"/>
        <v>7.902970861782797</v>
      </c>
      <c r="AP265" s="17"/>
      <c r="AS265" s="16">
        <f t="shared" si="122"/>
        <v>7.902970861782797</v>
      </c>
      <c r="AT265" s="16">
        <f t="shared" si="123"/>
        <v>20.428085803539648</v>
      </c>
      <c r="AU265" s="40">
        <f t="shared" si="128"/>
        <v>-12.525114941756851</v>
      </c>
    </row>
    <row r="266" spans="2:47" x14ac:dyDescent="0.2">
      <c r="B266" s="2">
        <v>40</v>
      </c>
      <c r="C266" s="63">
        <f t="shared" ca="1" si="124"/>
        <v>56261.383684953704</v>
      </c>
      <c r="D266" s="36">
        <f t="shared" si="125"/>
        <v>17.90000000000002</v>
      </c>
      <c r="E266" s="36">
        <f t="shared" si="126"/>
        <v>17.509999999999994</v>
      </c>
      <c r="F266" s="36">
        <f t="shared" ca="1" si="120"/>
        <v>1697.3869901548032</v>
      </c>
      <c r="G266" s="36">
        <f t="shared" ref="G266:AO266" si="166">IF($C$20="doyle",G117,IF($C$20="scribner",G166,G216))</f>
        <v>3.0968749999999998</v>
      </c>
      <c r="H266" s="2">
        <f t="shared" si="166"/>
        <v>293.57614181620659</v>
      </c>
      <c r="I266" s="43">
        <f t="shared" si="166"/>
        <v>273.68732431551979</v>
      </c>
      <c r="J266" s="43">
        <f t="shared" si="166"/>
        <v>79.865783639809649</v>
      </c>
      <c r="K266" s="43">
        <f t="shared" si="166"/>
        <v>76.746557189487405</v>
      </c>
      <c r="L266" s="43">
        <f t="shared" si="166"/>
        <v>213.71035817639694</v>
      </c>
      <c r="M266" s="43">
        <f t="shared" si="166"/>
        <v>196.94076712603237</v>
      </c>
      <c r="N266" s="40">
        <f t="shared" si="166"/>
        <v>532.125</v>
      </c>
      <c r="O266" s="40">
        <f t="shared" si="166"/>
        <v>394.375</v>
      </c>
      <c r="P266" s="40">
        <f t="shared" si="166"/>
        <v>42.49858011933371</v>
      </c>
      <c r="Q266" s="40">
        <f t="shared" si="166"/>
        <v>84.282022505816542</v>
      </c>
      <c r="R266" s="19">
        <f t="shared" si="166"/>
        <v>-19.017090393772538</v>
      </c>
      <c r="S266" s="40">
        <f t="shared" si="166"/>
        <v>175.60124999999999</v>
      </c>
      <c r="T266" s="40">
        <f t="shared" si="166"/>
        <v>394.375</v>
      </c>
      <c r="U266" s="40">
        <f t="shared" si="166"/>
        <v>13.476791375670475</v>
      </c>
      <c r="V266" s="40">
        <f t="shared" si="166"/>
        <v>77.668515035329008</v>
      </c>
      <c r="W266" s="19">
        <f t="shared" si="166"/>
        <v>-13.671795961649922</v>
      </c>
      <c r="X266" s="19">
        <f t="shared" si="166"/>
        <v>23.343797372684705</v>
      </c>
      <c r="Y266" s="19">
        <f t="shared" si="166"/>
        <v>19.743951549772447</v>
      </c>
      <c r="Z266" s="40">
        <f t="shared" si="166"/>
        <v>0.5</v>
      </c>
      <c r="AA266" s="19">
        <f t="shared" si="166"/>
        <v>-7.4999999999999997E-2</v>
      </c>
      <c r="AB266" s="19">
        <f t="shared" si="166"/>
        <v>9.2063757741019964E-2</v>
      </c>
      <c r="AC266" s="40">
        <f t="shared" si="166"/>
        <v>8.7484060564744865</v>
      </c>
      <c r="AD266" s="19">
        <f t="shared" si="166"/>
        <v>-4.6270161537604382E-2</v>
      </c>
      <c r="AE266" s="40">
        <f t="shared" si="166"/>
        <v>-3.1853178154987294</v>
      </c>
      <c r="AF266" s="19">
        <f t="shared" si="166"/>
        <v>-1.1104838769025051E-2</v>
      </c>
      <c r="AG266" s="40">
        <f t="shared" si="166"/>
        <v>-0.76447627571969501</v>
      </c>
      <c r="AH266" s="40">
        <f t="shared" si="166"/>
        <v>7.5694017733412622</v>
      </c>
      <c r="AI266" s="40">
        <f t="shared" si="166"/>
        <v>11.80992450552724</v>
      </c>
      <c r="AJ266" s="40">
        <f t="shared" si="166"/>
        <v>-12.174549776431185</v>
      </c>
      <c r="AK266" s="40">
        <f t="shared" si="166"/>
        <v>-7.9340270442452079</v>
      </c>
      <c r="AL266" s="40">
        <f t="shared" si="166"/>
        <v>20.158479557185977</v>
      </c>
      <c r="AM266" s="40">
        <f t="shared" si="166"/>
        <v>27.727881330527239</v>
      </c>
      <c r="AN266" s="40">
        <f t="shared" si="166"/>
        <v>15.917956824999999</v>
      </c>
      <c r="AO266" s="40">
        <f t="shared" si="166"/>
        <v>7.9839297807547913</v>
      </c>
      <c r="AP266" s="17"/>
      <c r="AS266" s="16">
        <f t="shared" si="122"/>
        <v>7.9839297807547913</v>
      </c>
      <c r="AT266" s="16">
        <f t="shared" si="123"/>
        <v>20.158479557185977</v>
      </c>
      <c r="AU266" s="40">
        <f t="shared" si="128"/>
        <v>-12.174549776431185</v>
      </c>
    </row>
    <row r="267" spans="2:47" x14ac:dyDescent="0.2">
      <c r="V267" s="13"/>
      <c r="AP267" s="17"/>
    </row>
    <row r="268" spans="2:47" ht="15" x14ac:dyDescent="0.25">
      <c r="B268" s="73" t="s">
        <v>286</v>
      </c>
      <c r="V268" s="13"/>
      <c r="AP268" s="17"/>
    </row>
    <row r="269" spans="2:47" x14ac:dyDescent="0.2">
      <c r="V269" s="13"/>
      <c r="AP269" s="17"/>
    </row>
    <row r="270" spans="2:47" x14ac:dyDescent="0.2">
      <c r="V270" s="13"/>
      <c r="AP270" s="17"/>
    </row>
    <row r="271" spans="2:47" x14ac:dyDescent="0.2">
      <c r="V271" s="13"/>
      <c r="AP271" s="17"/>
    </row>
    <row r="272" spans="2:47" x14ac:dyDescent="0.2">
      <c r="V272" s="13"/>
      <c r="AP272" s="17"/>
    </row>
    <row r="273" spans="22:42" x14ac:dyDescent="0.2">
      <c r="V273" s="13"/>
      <c r="AP273" s="17"/>
    </row>
    <row r="274" spans="22:42" x14ac:dyDescent="0.2">
      <c r="V274" s="13"/>
      <c r="AP274" s="17"/>
    </row>
    <row r="275" spans="22:42" x14ac:dyDescent="0.2">
      <c r="V275" s="13"/>
      <c r="AP275" s="17"/>
    </row>
    <row r="276" spans="22:42" x14ac:dyDescent="0.2">
      <c r="V276" s="13"/>
      <c r="AP276" s="17"/>
    </row>
    <row r="277" spans="22:42" x14ac:dyDescent="0.2">
      <c r="V277" s="13"/>
      <c r="AP277" s="17"/>
    </row>
    <row r="278" spans="22:42" x14ac:dyDescent="0.2">
      <c r="V278" s="13"/>
      <c r="AP278" s="17"/>
    </row>
    <row r="279" spans="22:42" x14ac:dyDescent="0.2">
      <c r="V279" s="13"/>
      <c r="AP279" s="17"/>
    </row>
    <row r="280" spans="22:42" x14ac:dyDescent="0.2">
      <c r="V280" s="13"/>
      <c r="AP280" s="17"/>
    </row>
    <row r="281" spans="22:42" x14ac:dyDescent="0.2">
      <c r="V281" s="13"/>
      <c r="AP281" s="17"/>
    </row>
    <row r="282" spans="22:42" x14ac:dyDescent="0.2">
      <c r="V282" s="13"/>
      <c r="AP282" s="17"/>
    </row>
    <row r="283" spans="22:42" x14ac:dyDescent="0.2">
      <c r="V283" s="13"/>
      <c r="AP283" s="17"/>
    </row>
    <row r="284" spans="22:42" x14ac:dyDescent="0.2">
      <c r="V284" s="13"/>
      <c r="AP284" s="17"/>
    </row>
    <row r="285" spans="22:42" x14ac:dyDescent="0.2">
      <c r="V285" s="13"/>
      <c r="AP285" s="17"/>
    </row>
    <row r="286" spans="22:42" x14ac:dyDescent="0.2">
      <c r="V286" s="13"/>
      <c r="AP286" s="17"/>
    </row>
    <row r="287" spans="22:42" x14ac:dyDescent="0.2">
      <c r="V287" s="13"/>
      <c r="AP287" s="17"/>
    </row>
    <row r="288" spans="22:42" x14ac:dyDescent="0.2">
      <c r="V288" s="13"/>
      <c r="AP288" s="17"/>
    </row>
    <row r="289" spans="22:42" x14ac:dyDescent="0.2">
      <c r="V289" s="13"/>
      <c r="AP289" s="17"/>
    </row>
    <row r="290" spans="22:42" x14ac:dyDescent="0.2">
      <c r="V290" s="13"/>
      <c r="AP290" s="17"/>
    </row>
    <row r="291" spans="22:42" x14ac:dyDescent="0.2">
      <c r="V291" s="13"/>
      <c r="AP291" s="17"/>
    </row>
    <row r="292" spans="22:42" x14ac:dyDescent="0.2">
      <c r="V292" s="13"/>
      <c r="AP292" s="17"/>
    </row>
    <row r="293" spans="22:42" x14ac:dyDescent="0.2">
      <c r="V293" s="13"/>
      <c r="AP293" s="17"/>
    </row>
    <row r="294" spans="22:42" x14ac:dyDescent="0.2">
      <c r="V294" s="13"/>
      <c r="AP294" s="17"/>
    </row>
    <row r="295" spans="22:42" x14ac:dyDescent="0.2">
      <c r="V295" s="13"/>
      <c r="AP295" s="17"/>
    </row>
    <row r="296" spans="22:42" x14ac:dyDescent="0.2">
      <c r="V296" s="13"/>
      <c r="AP296" s="17"/>
    </row>
    <row r="297" spans="22:42" x14ac:dyDescent="0.2">
      <c r="V297" s="13"/>
      <c r="AP297" s="17"/>
    </row>
    <row r="298" spans="22:42" x14ac:dyDescent="0.2">
      <c r="V298" s="13"/>
      <c r="AP298" s="17"/>
    </row>
    <row r="299" spans="22:42" x14ac:dyDescent="0.2">
      <c r="V299" s="13"/>
      <c r="AP299" s="17"/>
    </row>
    <row r="300" spans="22:42" x14ac:dyDescent="0.2">
      <c r="V300" s="13"/>
      <c r="AP300" s="17"/>
    </row>
    <row r="301" spans="22:42" x14ac:dyDescent="0.2">
      <c r="V301" s="13"/>
      <c r="AP301" s="17"/>
    </row>
    <row r="302" spans="22:42" x14ac:dyDescent="0.2">
      <c r="V302" s="13"/>
      <c r="AP302" s="17"/>
    </row>
    <row r="303" spans="22:42" x14ac:dyDescent="0.2">
      <c r="V303" s="13"/>
      <c r="AP303" s="17"/>
    </row>
    <row r="304" spans="22:42" x14ac:dyDescent="0.2">
      <c r="V304" s="13"/>
      <c r="AP304" s="17"/>
    </row>
    <row r="305" spans="22:42" x14ac:dyDescent="0.2">
      <c r="V305" s="13"/>
      <c r="AP305" s="17"/>
    </row>
    <row r="306" spans="22:42" x14ac:dyDescent="0.2">
      <c r="V306" s="13"/>
      <c r="AP306" s="17"/>
    </row>
    <row r="307" spans="22:42" x14ac:dyDescent="0.2">
      <c r="V307" s="13"/>
      <c r="AP307" s="17"/>
    </row>
    <row r="308" spans="22:42" x14ac:dyDescent="0.2">
      <c r="V308" s="13"/>
      <c r="AP308" s="17"/>
    </row>
    <row r="309" spans="22:42" x14ac:dyDescent="0.2">
      <c r="V309" s="13"/>
      <c r="AP309" s="17"/>
    </row>
    <row r="310" spans="22:42" x14ac:dyDescent="0.2">
      <c r="V310" s="13"/>
      <c r="AP310" s="17"/>
    </row>
    <row r="311" spans="22:42" x14ac:dyDescent="0.2">
      <c r="V311" s="13"/>
      <c r="AP311" s="17"/>
    </row>
    <row r="312" spans="22:42" x14ac:dyDescent="0.2">
      <c r="V312" s="13"/>
      <c r="AP312" s="17"/>
    </row>
    <row r="313" spans="22:42" x14ac:dyDescent="0.2">
      <c r="V313" s="13"/>
      <c r="AP313" s="17"/>
    </row>
    <row r="314" spans="22:42" x14ac:dyDescent="0.2">
      <c r="V314" s="13"/>
      <c r="AP314" s="17"/>
    </row>
    <row r="315" spans="22:42" x14ac:dyDescent="0.2">
      <c r="V315" s="13"/>
      <c r="AP315" s="17"/>
    </row>
    <row r="316" spans="22:42" x14ac:dyDescent="0.2">
      <c r="V316" s="13"/>
      <c r="AP316" s="17"/>
    </row>
    <row r="317" spans="22:42" x14ac:dyDescent="0.2">
      <c r="V317" s="13"/>
      <c r="AP317" s="17"/>
    </row>
    <row r="318" spans="22:42" x14ac:dyDescent="0.2">
      <c r="V318" s="13"/>
      <c r="AP318" s="17"/>
    </row>
    <row r="319" spans="22:42" x14ac:dyDescent="0.2">
      <c r="V319" s="13"/>
      <c r="AP319" s="17"/>
    </row>
    <row r="320" spans="22:42" x14ac:dyDescent="0.2">
      <c r="V320" s="13"/>
      <c r="AP320" s="17"/>
    </row>
    <row r="321" spans="22:42" x14ac:dyDescent="0.2">
      <c r="V321" s="13"/>
      <c r="AP321" s="17"/>
    </row>
    <row r="322" spans="22:42" x14ac:dyDescent="0.2">
      <c r="V322" s="13"/>
      <c r="AP322" s="17"/>
    </row>
    <row r="323" spans="22:42" x14ac:dyDescent="0.2">
      <c r="V323" s="13"/>
      <c r="AP323" s="17"/>
    </row>
    <row r="324" spans="22:42" x14ac:dyDescent="0.2">
      <c r="V324" s="13"/>
      <c r="AP324" s="17"/>
    </row>
    <row r="325" spans="22:42" x14ac:dyDescent="0.2">
      <c r="V325" s="13"/>
      <c r="AP325" s="17"/>
    </row>
    <row r="326" spans="22:42" x14ac:dyDescent="0.2">
      <c r="V326" s="13"/>
      <c r="AP326" s="17"/>
    </row>
    <row r="327" spans="22:42" x14ac:dyDescent="0.2">
      <c r="V327" s="13"/>
      <c r="AP327" s="17"/>
    </row>
    <row r="328" spans="22:42" x14ac:dyDescent="0.2">
      <c r="V328" s="13"/>
      <c r="AP328" s="17"/>
    </row>
    <row r="329" spans="22:42" x14ac:dyDescent="0.2">
      <c r="V329" s="13"/>
      <c r="AP329" s="17"/>
    </row>
    <row r="330" spans="22:42" x14ac:dyDescent="0.2">
      <c r="V330" s="13"/>
      <c r="AP330" s="17"/>
    </row>
    <row r="331" spans="22:42" x14ac:dyDescent="0.2">
      <c r="V331" s="13"/>
      <c r="AP331" s="17"/>
    </row>
    <row r="332" spans="22:42" x14ac:dyDescent="0.2">
      <c r="V332" s="13"/>
      <c r="AP332" s="17"/>
    </row>
    <row r="333" spans="22:42" x14ac:dyDescent="0.2">
      <c r="V333" s="13"/>
      <c r="AP333" s="17"/>
    </row>
    <row r="334" spans="22:42" x14ac:dyDescent="0.2">
      <c r="V334" s="13"/>
      <c r="AP334" s="17"/>
    </row>
    <row r="335" spans="22:42" x14ac:dyDescent="0.2">
      <c r="V335" s="13"/>
      <c r="AP335" s="17"/>
    </row>
    <row r="336" spans="22:42" x14ac:dyDescent="0.2">
      <c r="V336" s="13"/>
      <c r="AP336" s="17"/>
    </row>
    <row r="337" spans="22:42" x14ac:dyDescent="0.2">
      <c r="V337" s="13"/>
      <c r="AP337" s="17"/>
    </row>
    <row r="338" spans="22:42" x14ac:dyDescent="0.2">
      <c r="V338" s="13"/>
      <c r="AP338" s="17"/>
    </row>
    <row r="339" spans="22:42" x14ac:dyDescent="0.2">
      <c r="V339" s="13"/>
      <c r="AP339" s="17"/>
    </row>
    <row r="340" spans="22:42" x14ac:dyDescent="0.2">
      <c r="V340" s="13"/>
      <c r="AP340" s="17"/>
    </row>
    <row r="341" spans="22:42" x14ac:dyDescent="0.2">
      <c r="V341" s="13"/>
      <c r="AP341" s="17"/>
    </row>
    <row r="342" spans="22:42" x14ac:dyDescent="0.2">
      <c r="V342" s="13"/>
      <c r="AP342" s="17"/>
    </row>
    <row r="343" spans="22:42" x14ac:dyDescent="0.2">
      <c r="V343" s="13"/>
      <c r="AP343" s="17"/>
    </row>
    <row r="344" spans="22:42" x14ac:dyDescent="0.2">
      <c r="V344" s="13"/>
      <c r="AP344" s="17"/>
    </row>
    <row r="345" spans="22:42" x14ac:dyDescent="0.2">
      <c r="V345" s="13"/>
      <c r="AP345" s="17"/>
    </row>
    <row r="346" spans="22:42" x14ac:dyDescent="0.2">
      <c r="V346" s="13"/>
      <c r="AP346" s="17"/>
    </row>
    <row r="347" spans="22:42" x14ac:dyDescent="0.2">
      <c r="V347" s="13"/>
      <c r="AP347" s="17"/>
    </row>
    <row r="348" spans="22:42" x14ac:dyDescent="0.2">
      <c r="V348" s="13"/>
      <c r="AP348" s="17"/>
    </row>
    <row r="349" spans="22:42" x14ac:dyDescent="0.2">
      <c r="V349" s="13"/>
      <c r="AP349" s="17"/>
    </row>
    <row r="350" spans="22:42" x14ac:dyDescent="0.2">
      <c r="V350" s="13"/>
      <c r="AP350" s="17"/>
    </row>
    <row r="351" spans="22:42" x14ac:dyDescent="0.2">
      <c r="V351" s="13"/>
      <c r="AP351" s="17"/>
    </row>
    <row r="352" spans="22:42" x14ac:dyDescent="0.2">
      <c r="V352" s="13"/>
      <c r="AP352" s="17"/>
    </row>
    <row r="353" spans="22:42" x14ac:dyDescent="0.2">
      <c r="V353" s="13"/>
      <c r="AP353" s="17"/>
    </row>
    <row r="354" spans="22:42" x14ac:dyDescent="0.2">
      <c r="V354" s="13"/>
      <c r="AP354" s="17"/>
    </row>
    <row r="355" spans="22:42" x14ac:dyDescent="0.2">
      <c r="V355" s="13"/>
      <c r="AP355" s="17"/>
    </row>
    <row r="356" spans="22:42" x14ac:dyDescent="0.2">
      <c r="V356" s="13"/>
      <c r="AP356" s="17"/>
    </row>
    <row r="357" spans="22:42" x14ac:dyDescent="0.2">
      <c r="V357" s="13"/>
      <c r="AP357" s="17"/>
    </row>
    <row r="358" spans="22:42" x14ac:dyDescent="0.2">
      <c r="V358" s="13"/>
      <c r="AP358" s="17"/>
    </row>
    <row r="359" spans="22:42" x14ac:dyDescent="0.2">
      <c r="V359" s="13"/>
      <c r="AP359" s="17"/>
    </row>
    <row r="360" spans="22:42" x14ac:dyDescent="0.2">
      <c r="V360" s="13"/>
      <c r="AP360" s="17"/>
    </row>
    <row r="361" spans="22:42" x14ac:dyDescent="0.2">
      <c r="V361" s="13"/>
      <c r="AP361" s="17"/>
    </row>
    <row r="362" spans="22:42" x14ac:dyDescent="0.2">
      <c r="V362" s="13"/>
      <c r="AP362" s="17"/>
    </row>
    <row r="363" spans="22:42" x14ac:dyDescent="0.2">
      <c r="V363" s="13"/>
      <c r="AP363" s="17"/>
    </row>
    <row r="364" spans="22:42" x14ac:dyDescent="0.2">
      <c r="V364" s="13"/>
      <c r="AP364" s="17"/>
    </row>
    <row r="365" spans="22:42" x14ac:dyDescent="0.2">
      <c r="V365" s="13"/>
      <c r="AP365" s="17"/>
    </row>
    <row r="366" spans="22:42" x14ac:dyDescent="0.2">
      <c r="V366" s="13"/>
      <c r="AP366" s="17"/>
    </row>
    <row r="367" spans="22:42" x14ac:dyDescent="0.2">
      <c r="V367" s="13"/>
      <c r="AP367" s="17"/>
    </row>
    <row r="368" spans="22:42" x14ac:dyDescent="0.2">
      <c r="V368" s="13"/>
      <c r="AP368" s="17"/>
    </row>
    <row r="369" spans="22:42" x14ac:dyDescent="0.2">
      <c r="V369" s="13"/>
      <c r="AP369" s="17"/>
    </row>
    <row r="370" spans="22:42" x14ac:dyDescent="0.2">
      <c r="V370" s="13"/>
      <c r="AP370" s="17"/>
    </row>
    <row r="371" spans="22:42" x14ac:dyDescent="0.2">
      <c r="V371" s="13"/>
      <c r="AP371" s="17"/>
    </row>
    <row r="372" spans="22:42" x14ac:dyDescent="0.2">
      <c r="V372" s="13"/>
      <c r="AP372" s="17"/>
    </row>
    <row r="373" spans="22:42" x14ac:dyDescent="0.2">
      <c r="V373" s="13"/>
      <c r="AP373" s="17"/>
    </row>
    <row r="374" spans="22:42" x14ac:dyDescent="0.2">
      <c r="V374" s="13"/>
      <c r="AP374" s="17"/>
    </row>
    <row r="375" spans="22:42" x14ac:dyDescent="0.2">
      <c r="V375" s="13"/>
      <c r="AP375" s="17"/>
    </row>
    <row r="376" spans="22:42" x14ac:dyDescent="0.2">
      <c r="V376" s="13"/>
    </row>
    <row r="377" spans="22:42" x14ac:dyDescent="0.2">
      <c r="V377" s="13"/>
    </row>
    <row r="378" spans="22:42" x14ac:dyDescent="0.2">
      <c r="V378" s="13"/>
    </row>
    <row r="379" spans="22:42" x14ac:dyDescent="0.2">
      <c r="V379" s="13"/>
    </row>
    <row r="380" spans="22:42" x14ac:dyDescent="0.2">
      <c r="V380" s="13"/>
    </row>
    <row r="381" spans="22:42" x14ac:dyDescent="0.2">
      <c r="V381" s="13"/>
    </row>
    <row r="382" spans="22:42" x14ac:dyDescent="0.2">
      <c r="V382" s="13"/>
    </row>
    <row r="383" spans="22:42" x14ac:dyDescent="0.2">
      <c r="V383" s="13"/>
    </row>
  </sheetData>
  <customSheetViews>
    <customSheetView guid="{09424FF3-0ADC-F248-B0A5-DA1BAD95D1DA}" scale="125" hiddenColumns="1" topLeftCell="B1">
      <selection activeCell="D3" sqref="D3"/>
      <pageMargins left="0.7" right="0.7" top="0.75" bottom="0.75" header="0.3" footer="0.3"/>
      <pageSetup orientation="portrait" horizontalDpi="300" verticalDpi="300"/>
      <headerFooter alignWithMargins="0"/>
    </customSheetView>
    <customSheetView guid="{CDC41083-D9F5-D74F-A913-DB217693A658}" scale="125" hiddenColumns="1" topLeftCell="B280">
      <selection activeCell="F13" sqref="F13"/>
      <pageMargins left="0.7" right="0.7" top="0.75" bottom="0.75" header="0.3" footer="0.3"/>
      <pageSetup orientation="portrait" horizontalDpi="300" verticalDpi="300"/>
      <headerFooter alignWithMargins="0"/>
    </customSheetView>
    <customSheetView guid="{0F7CA430-D3B9-4441-B8D8-253796577FB5}" hiddenColumns="1" topLeftCell="B1">
      <selection activeCell="J1" sqref="J1"/>
      <pageMargins left="0.7" right="0.7" top="0.75" bottom="0.75" header="0.3" footer="0.3"/>
      <pageSetup orientation="portrait" horizontalDpi="300" verticalDpi="300"/>
      <headerFooter alignWithMargins="0"/>
    </customSheetView>
  </customSheetViews>
  <phoneticPr fontId="2" type="noConversion"/>
  <pageMargins left="0.7" right="0.7" top="0.75" bottom="0.75" header="0.3" footer="0.3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26" sqref="F26"/>
    </sheetView>
  </sheetViews>
  <sheetFormatPr defaultColWidth="8.85546875" defaultRowHeight="12.75" x14ac:dyDescent="0.2"/>
  <cols>
    <col min="1" max="1" width="33.42578125" bestFit="1" customWidth="1"/>
    <col min="2" max="2" width="39.85546875" bestFit="1" customWidth="1"/>
    <col min="3" max="4" width="37.7109375" bestFit="1" customWidth="1"/>
    <col min="6" max="6" width="12.85546875" bestFit="1" customWidth="1"/>
  </cols>
  <sheetData>
    <row r="1" spans="1:4" ht="15.75" x14ac:dyDescent="0.25">
      <c r="A1" s="4"/>
      <c r="B1" s="4" t="s">
        <v>114</v>
      </c>
      <c r="C1" s="4" t="s">
        <v>114</v>
      </c>
      <c r="D1" s="4" t="s">
        <v>115</v>
      </c>
    </row>
    <row r="2" spans="1:4" s="6" customFormat="1" ht="15.75" x14ac:dyDescent="0.25">
      <c r="A2" s="5" t="s">
        <v>116</v>
      </c>
      <c r="B2" s="5" t="s">
        <v>117</v>
      </c>
      <c r="C2" s="5" t="s">
        <v>118</v>
      </c>
      <c r="D2" s="5" t="s">
        <v>284</v>
      </c>
    </row>
    <row r="3" spans="1:4" ht="15.75" x14ac:dyDescent="0.25">
      <c r="A3" s="7"/>
      <c r="B3" s="7"/>
      <c r="C3" s="7"/>
      <c r="D3" s="7"/>
    </row>
    <row r="4" spans="1:4" ht="15.75" x14ac:dyDescent="0.25">
      <c r="A4" s="4" t="s">
        <v>119</v>
      </c>
      <c r="B4" s="7" t="s">
        <v>120</v>
      </c>
      <c r="C4" s="7" t="s">
        <v>121</v>
      </c>
      <c r="D4" s="7" t="s">
        <v>122</v>
      </c>
    </row>
    <row r="5" spans="1:4" ht="15.75" x14ac:dyDescent="0.25">
      <c r="A5" s="4"/>
      <c r="B5" s="7" t="s">
        <v>123</v>
      </c>
      <c r="C5" s="7" t="s">
        <v>124</v>
      </c>
      <c r="D5" s="7" t="s">
        <v>124</v>
      </c>
    </row>
    <row r="6" spans="1:4" ht="15.75" x14ac:dyDescent="0.25">
      <c r="A6" s="4"/>
      <c r="B6" s="7" t="s">
        <v>125</v>
      </c>
      <c r="C6" s="7" t="s">
        <v>126</v>
      </c>
      <c r="D6" s="7" t="s">
        <v>127</v>
      </c>
    </row>
    <row r="7" spans="1:4" ht="15.75" x14ac:dyDescent="0.25">
      <c r="A7" s="4"/>
      <c r="B7" s="7" t="s">
        <v>128</v>
      </c>
      <c r="C7" s="7" t="s">
        <v>129</v>
      </c>
      <c r="D7" s="7" t="s">
        <v>129</v>
      </c>
    </row>
    <row r="8" spans="1:4" ht="15.75" x14ac:dyDescent="0.25">
      <c r="A8" s="4"/>
      <c r="B8" s="7" t="s">
        <v>130</v>
      </c>
      <c r="C8" s="7" t="s">
        <v>131</v>
      </c>
      <c r="D8" s="7" t="s">
        <v>131</v>
      </c>
    </row>
    <row r="9" spans="1:4" ht="15.75" x14ac:dyDescent="0.25">
      <c r="A9" s="4"/>
      <c r="B9" s="7"/>
      <c r="C9" s="7"/>
      <c r="D9" s="7"/>
    </row>
    <row r="10" spans="1:4" ht="15.75" x14ac:dyDescent="0.25">
      <c r="A10" s="4" t="s">
        <v>132</v>
      </c>
      <c r="B10" s="7" t="s">
        <v>133</v>
      </c>
      <c r="C10" s="7" t="s">
        <v>134</v>
      </c>
      <c r="D10" s="7" t="s">
        <v>134</v>
      </c>
    </row>
    <row r="11" spans="1:4" ht="15.75" x14ac:dyDescent="0.25">
      <c r="A11" s="4"/>
      <c r="B11" s="7" t="s">
        <v>135</v>
      </c>
      <c r="C11" s="7" t="s">
        <v>136</v>
      </c>
      <c r="D11" s="7" t="s">
        <v>136</v>
      </c>
    </row>
    <row r="12" spans="1:4" ht="15.75" x14ac:dyDescent="0.25">
      <c r="A12" s="4"/>
      <c r="B12" s="7"/>
      <c r="C12" s="7"/>
      <c r="D12" s="7"/>
    </row>
    <row r="13" spans="1:4" ht="15.75" x14ac:dyDescent="0.25">
      <c r="A13" s="4" t="s">
        <v>137</v>
      </c>
      <c r="B13" s="7" t="s">
        <v>138</v>
      </c>
      <c r="C13" s="7" t="s">
        <v>139</v>
      </c>
      <c r="D13" s="7" t="s">
        <v>139</v>
      </c>
    </row>
    <row r="14" spans="1:4" ht="15.75" x14ac:dyDescent="0.25">
      <c r="A14" s="4"/>
      <c r="B14" s="7" t="s">
        <v>140</v>
      </c>
      <c r="C14" s="7" t="s">
        <v>141</v>
      </c>
      <c r="D14" s="7" t="s">
        <v>141</v>
      </c>
    </row>
    <row r="15" spans="1:4" ht="15.75" x14ac:dyDescent="0.25">
      <c r="A15" s="4"/>
      <c r="B15" s="7" t="s">
        <v>142</v>
      </c>
      <c r="C15" s="7" t="s">
        <v>143</v>
      </c>
      <c r="D15" s="7" t="s">
        <v>143</v>
      </c>
    </row>
    <row r="16" spans="1:4" ht="15.75" x14ac:dyDescent="0.25">
      <c r="A16" s="4"/>
      <c r="B16" s="7"/>
      <c r="C16" s="7"/>
      <c r="D16" s="7"/>
    </row>
    <row r="17" spans="1:6" ht="15.75" x14ac:dyDescent="0.25">
      <c r="A17" s="4" t="s">
        <v>279</v>
      </c>
      <c r="B17" s="7" t="s">
        <v>144</v>
      </c>
      <c r="C17" s="7" t="s">
        <v>144</v>
      </c>
      <c r="D17" s="7" t="s">
        <v>145</v>
      </c>
    </row>
    <row r="18" spans="1:6" ht="15.75" x14ac:dyDescent="0.25">
      <c r="A18" s="4"/>
      <c r="B18" s="7" t="s">
        <v>146</v>
      </c>
      <c r="C18" s="7" t="s">
        <v>147</v>
      </c>
      <c r="D18" s="7" t="s">
        <v>147</v>
      </c>
    </row>
    <row r="19" spans="1:6" ht="15.75" x14ac:dyDescent="0.25">
      <c r="A19" s="4"/>
      <c r="B19" s="7"/>
      <c r="C19" s="7"/>
      <c r="D19" s="7"/>
    </row>
    <row r="20" spans="1:6" ht="15.75" x14ac:dyDescent="0.25">
      <c r="A20" s="4" t="s">
        <v>280</v>
      </c>
      <c r="B20" s="7" t="s">
        <v>148</v>
      </c>
      <c r="C20" s="7" t="s">
        <v>149</v>
      </c>
      <c r="D20" s="7" t="s">
        <v>149</v>
      </c>
    </row>
    <row r="21" spans="1:6" ht="15.75" x14ac:dyDescent="0.25">
      <c r="A21" s="4"/>
      <c r="B21" s="7"/>
      <c r="C21" s="7"/>
      <c r="D21" s="7"/>
    </row>
    <row r="22" spans="1:6" ht="15.75" x14ac:dyDescent="0.25">
      <c r="A22" s="4" t="s">
        <v>281</v>
      </c>
      <c r="B22" s="7" t="s">
        <v>150</v>
      </c>
      <c r="C22" s="7" t="s">
        <v>151</v>
      </c>
      <c r="D22" s="7" t="s">
        <v>150</v>
      </c>
    </row>
    <row r="23" spans="1:6" ht="15.75" x14ac:dyDescent="0.25">
      <c r="A23" s="4"/>
      <c r="B23" s="7" t="s">
        <v>152</v>
      </c>
      <c r="C23" s="7" t="s">
        <v>153</v>
      </c>
      <c r="D23" s="7" t="s">
        <v>154</v>
      </c>
    </row>
    <row r="24" spans="1:6" ht="15.75" x14ac:dyDescent="0.25">
      <c r="A24" s="4"/>
      <c r="B24" s="7" t="s">
        <v>155</v>
      </c>
      <c r="C24" s="7" t="s">
        <v>156</v>
      </c>
      <c r="D24" s="7" t="s">
        <v>156</v>
      </c>
    </row>
    <row r="25" spans="1:6" ht="15.75" x14ac:dyDescent="0.25">
      <c r="A25" s="4"/>
      <c r="B25" s="7"/>
      <c r="C25" s="7"/>
      <c r="D25" s="7"/>
    </row>
    <row r="26" spans="1:6" ht="15.75" x14ac:dyDescent="0.25">
      <c r="A26" s="4" t="s">
        <v>282</v>
      </c>
      <c r="B26" s="7" t="s">
        <v>157</v>
      </c>
      <c r="C26" s="7" t="s">
        <v>158</v>
      </c>
      <c r="D26" s="7" t="s">
        <v>158</v>
      </c>
      <c r="F26">
        <v>1000000</v>
      </c>
    </row>
    <row r="27" spans="1:6" ht="15.75" x14ac:dyDescent="0.25">
      <c r="A27" s="4"/>
      <c r="B27" s="7" t="s">
        <v>159</v>
      </c>
      <c r="C27" s="7" t="s">
        <v>160</v>
      </c>
      <c r="D27" s="7" t="s">
        <v>160</v>
      </c>
      <c r="F27">
        <v>500</v>
      </c>
    </row>
    <row r="28" spans="1:6" ht="15.75" x14ac:dyDescent="0.25">
      <c r="A28" s="4"/>
      <c r="B28" s="7"/>
      <c r="C28" s="7"/>
      <c r="D28" s="7"/>
      <c r="F28" s="89">
        <f>F27/F26</f>
        <v>5.0000000000000001E-4</v>
      </c>
    </row>
    <row r="29" spans="1:6" ht="15.75" x14ac:dyDescent="0.25">
      <c r="A29" s="4" t="s">
        <v>161</v>
      </c>
      <c r="B29" s="7" t="s">
        <v>162</v>
      </c>
      <c r="C29" s="7" t="s">
        <v>163</v>
      </c>
      <c r="D29" s="7" t="s">
        <v>163</v>
      </c>
    </row>
    <row r="30" spans="1:6" ht="15.75" x14ac:dyDescent="0.25">
      <c r="A30" s="4"/>
      <c r="B30" s="7" t="s">
        <v>164</v>
      </c>
      <c r="C30" s="7" t="s">
        <v>165</v>
      </c>
      <c r="D30" s="7" t="s">
        <v>165</v>
      </c>
      <c r="F30">
        <v>20000</v>
      </c>
    </row>
    <row r="31" spans="1:6" ht="15.75" x14ac:dyDescent="0.25">
      <c r="A31" s="4"/>
      <c r="B31" s="7" t="s">
        <v>166</v>
      </c>
      <c r="C31" s="7" t="s">
        <v>167</v>
      </c>
      <c r="D31" s="7" t="s">
        <v>167</v>
      </c>
      <c r="F31" s="90">
        <f>F30*150</f>
        <v>3000000</v>
      </c>
    </row>
    <row r="32" spans="1:6" ht="15.75" x14ac:dyDescent="0.25">
      <c r="A32" s="4"/>
      <c r="B32" s="7"/>
      <c r="C32" s="7" t="s">
        <v>168</v>
      </c>
      <c r="D32" s="7"/>
    </row>
    <row r="33" spans="1:4" ht="15.75" x14ac:dyDescent="0.25">
      <c r="A33" s="4"/>
      <c r="B33" s="7"/>
      <c r="D33" s="7"/>
    </row>
    <row r="34" spans="1:4" ht="15.75" x14ac:dyDescent="0.25">
      <c r="A34" s="4" t="s">
        <v>34</v>
      </c>
      <c r="B34" s="7" t="s">
        <v>169</v>
      </c>
      <c r="C34" s="7" t="s">
        <v>170</v>
      </c>
      <c r="D34" s="7" t="s">
        <v>169</v>
      </c>
    </row>
    <row r="35" spans="1:4" ht="15.75" x14ac:dyDescent="0.25">
      <c r="A35" s="7"/>
      <c r="B35" s="7" t="s">
        <v>171</v>
      </c>
      <c r="C35" s="7" t="s">
        <v>172</v>
      </c>
      <c r="D35" s="7" t="s">
        <v>171</v>
      </c>
    </row>
    <row r="37" spans="1:4" ht="15.75" x14ac:dyDescent="0.25">
      <c r="A37" s="4" t="s">
        <v>283</v>
      </c>
      <c r="B37" s="7" t="s">
        <v>173</v>
      </c>
      <c r="C37" s="7" t="s">
        <v>174</v>
      </c>
      <c r="D37" s="7" t="s">
        <v>174</v>
      </c>
    </row>
  </sheetData>
  <customSheetViews>
    <customSheetView guid="{09424FF3-0ADC-F248-B0A5-DA1BAD95D1DA}">
      <selection activeCell="D2" sqref="D2"/>
      <pageMargins left="0.7" right="0.7" top="0.75" bottom="0.75" header="0.3" footer="0.3"/>
      <pageSetup orientation="portrait" horizontalDpi="0" verticalDpi="0"/>
      <headerFooter alignWithMargins="0"/>
    </customSheetView>
    <customSheetView guid="{CDC41083-D9F5-D74F-A913-DB217693A658}">
      <selection activeCell="D2" sqref="D2"/>
      <pageMargins left="0.7" right="0.7" top="0.75" bottom="0.75" header="0.3" footer="0.3"/>
      <pageSetup orientation="landscape" horizontalDpi="4294967292" verticalDpi="4294967292"/>
      <headerFooter alignWithMargins="0"/>
    </customSheetView>
    <customSheetView guid="{0F7CA430-D3B9-4441-B8D8-253796577FB5}" topLeftCell="A28">
      <selection activeCell="C26" sqref="C26"/>
      <pageMargins left="0.7" right="0.7" top="0.75" bottom="0.75" header="0.3" footer="0.3"/>
      <pageSetup orientation="landscape" horizontalDpi="4294967292" verticalDpi="4294967292"/>
      <headerFooter alignWithMargins="0"/>
    </customSheetView>
  </customSheetViews>
  <phoneticPr fontId="2" type="noConversion"/>
  <pageMargins left="0.7" right="0.7" top="0.75" bottom="0.75" header="0.3" footer="0.3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welcome and overview</vt:lpstr>
      <vt:lpstr>data input worksheet</vt:lpstr>
      <vt:lpstr>table comparing options</vt:lpstr>
      <vt:lpstr>NPV graphs 4 scenarios</vt:lpstr>
      <vt:lpstr>PV graphs 7 values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Farrell</dc:creator>
  <cp:lastModifiedBy>Windows User</cp:lastModifiedBy>
  <dcterms:created xsi:type="dcterms:W3CDTF">2010-01-07T05:47:38Z</dcterms:created>
  <dcterms:modified xsi:type="dcterms:W3CDTF">2015-01-22T14:12:33Z</dcterms:modified>
</cp:coreProperties>
</file>